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ой вариант" sheetId="1" r:id="rId1"/>
    <sheet name="Лист1" sheetId="2" r:id="rId2"/>
    <sheet name="Лист2" sheetId="3" r:id="rId3"/>
    <sheet name="Лист3" sheetId="4" r:id="rId4"/>
  </sheets>
  <externalReferences>
    <externalReference r:id="rId7"/>
    <externalReference r:id="rId8"/>
  </externalReferences>
  <definedNames>
    <definedName name="_xlnm.Print_Area" localSheetId="0">'мой вариант'!$A$1:$S$1633</definedName>
  </definedNames>
  <calcPr fullCalcOnLoad="1"/>
</workbook>
</file>

<file path=xl/comments1.xml><?xml version="1.0" encoding="utf-8"?>
<comments xmlns="http://schemas.openxmlformats.org/spreadsheetml/2006/main">
  <authors>
    <author>Comp02</author>
  </authors>
  <commentList>
    <comment ref="A15" authorId="0">
      <text>
        <r>
          <rPr>
            <b/>
            <sz val="8"/>
            <rFont val="Tahoma"/>
            <family val="0"/>
          </rPr>
          <t>Comp02:</t>
        </r>
        <r>
          <rPr>
            <sz val="8"/>
            <rFont val="Tahoma"/>
            <family val="0"/>
          </rPr>
          <t xml:space="preserve">
МЭР</t>
        </r>
      </text>
    </comment>
    <comment ref="A55" authorId="0">
      <text>
        <r>
          <rPr>
            <b/>
            <sz val="8"/>
            <rFont val="Tahoma"/>
            <family val="0"/>
          </rPr>
          <t>Comp02:</t>
        </r>
        <r>
          <rPr>
            <sz val="8"/>
            <rFont val="Tahoma"/>
            <family val="0"/>
          </rPr>
          <t xml:space="preserve">
Управление</t>
        </r>
      </text>
    </comment>
    <comment ref="A82" authorId="0">
      <text>
        <r>
          <rPr>
            <b/>
            <sz val="8"/>
            <rFont val="Tahoma"/>
            <family val="0"/>
          </rPr>
          <t>Comp02:</t>
        </r>
        <r>
          <rPr>
            <sz val="8"/>
            <rFont val="Tahoma"/>
            <family val="0"/>
          </rPr>
          <t xml:space="preserve">
Финуправление</t>
        </r>
      </text>
    </comment>
    <comment ref="A97" authorId="0">
      <text>
        <r>
          <rPr>
            <b/>
            <sz val="8"/>
            <rFont val="Tahoma"/>
            <family val="0"/>
          </rPr>
          <t>Comp02:</t>
        </r>
        <r>
          <rPr>
            <sz val="8"/>
            <rFont val="Tahoma"/>
            <family val="0"/>
          </rPr>
          <t xml:space="preserve">
Финуправление</t>
        </r>
      </text>
    </comment>
  </commentList>
</comments>
</file>

<file path=xl/sharedStrings.xml><?xml version="1.0" encoding="utf-8"?>
<sst xmlns="http://schemas.openxmlformats.org/spreadsheetml/2006/main" count="7157" uniqueCount="564">
  <si>
    <t xml:space="preserve">Государственная поддержка в сфере культуры, кинематографии и средств массовой информации </t>
  </si>
  <si>
    <t>453</t>
  </si>
  <si>
    <t>Телевидение и радиовещание</t>
  </si>
  <si>
    <t xml:space="preserve">Мероприятия в сфере культуры, кинематографиии средств массовой информации </t>
  </si>
  <si>
    <t xml:space="preserve">Периодическая печать  и издательства </t>
  </si>
  <si>
    <t xml:space="preserve">Периодическая печать  </t>
  </si>
  <si>
    <t xml:space="preserve">Безвозмездные и безвозвратные перечисления  организациям, за исключением государственных и муниципальных организаций </t>
  </si>
  <si>
    <t>Субсидии в целях софинансирования расходных обязательств на создание условий для обеспечения поселений, входящих в состав муниципальных образований, услугами культуры</t>
  </si>
  <si>
    <t>Целевые программы муниципальных образований "Обеспечение пожарной безопасности"</t>
  </si>
  <si>
    <t>440 02 02</t>
  </si>
  <si>
    <t>440 02 03</t>
  </si>
  <si>
    <t>Долгосрочная целевая программа Иркутской области "50 модельных домов культуры Приангарью" на 2011-2013 годы</t>
  </si>
  <si>
    <t>795 17 00</t>
  </si>
  <si>
    <t>795 40 00</t>
  </si>
  <si>
    <t xml:space="preserve">Другие вопросы в области культуры, кинематографии </t>
  </si>
  <si>
    <t>450 85 00</t>
  </si>
  <si>
    <t>012</t>
  </si>
  <si>
    <t>Увеличение стоиммости материальных запасов</t>
  </si>
  <si>
    <t>коррект</t>
  </si>
  <si>
    <t xml:space="preserve">Мероприятия в области здравоохранения, спорта и физической культуры, туризма </t>
  </si>
  <si>
    <t>512 97 00</t>
  </si>
  <si>
    <t xml:space="preserve">Пенсионное обеспечение </t>
  </si>
  <si>
    <t xml:space="preserve">Пенсии </t>
  </si>
  <si>
    <t>490 00 00</t>
  </si>
  <si>
    <t>491 01 00</t>
  </si>
  <si>
    <t xml:space="preserve">Социальное обеспечение </t>
  </si>
  <si>
    <t>Пенсии, пособия, выплачиваемые организациями сектора государственного управления</t>
  </si>
  <si>
    <t xml:space="preserve">Пенсии, пособия, выплачиваемые организациями сектора государственного управления </t>
  </si>
  <si>
    <t>501 00 00</t>
  </si>
  <si>
    <t xml:space="preserve">Учреждения социального обслуживания населения </t>
  </si>
  <si>
    <t>506 00 00</t>
  </si>
  <si>
    <t xml:space="preserve">Социальное обеспечение населения </t>
  </si>
  <si>
    <t xml:space="preserve">Фонд софинансирования социальных расходов </t>
  </si>
  <si>
    <t>515 00 00</t>
  </si>
  <si>
    <t xml:space="preserve">Предоставление льгот ветеранам труда за счет средств бюджетов субъектов РФ и местных бюджетов </t>
  </si>
  <si>
    <t>563</t>
  </si>
  <si>
    <t xml:space="preserve">Дотации и субвенции </t>
  </si>
  <si>
    <t>517 00 00</t>
  </si>
  <si>
    <t xml:space="preserve">Погашение задолженности бюджетов по обязательствам, вытекающим из закона РФ " О реабилитации жертв политических репрессий" </t>
  </si>
  <si>
    <t>479</t>
  </si>
  <si>
    <t xml:space="preserve">Пособия по социальной помощи населению </t>
  </si>
  <si>
    <t xml:space="preserve">Региональные целевые программы </t>
  </si>
  <si>
    <t xml:space="preserve">Мероприятия в области социальной политики </t>
  </si>
  <si>
    <t>482</t>
  </si>
  <si>
    <t xml:space="preserve">Фонд компенсации </t>
  </si>
  <si>
    <t>519 00 00</t>
  </si>
  <si>
    <t>Субвенции на оплату жилищно-коммунальных услуг отдельным категориям граждан</t>
  </si>
  <si>
    <t>561</t>
  </si>
  <si>
    <t>Борьба с беспризорностью, опека, попечительство</t>
  </si>
  <si>
    <t xml:space="preserve">Мероприятия по борьбе с беспризорностью, по опеке и попечительству </t>
  </si>
  <si>
    <t>511 00 00</t>
  </si>
  <si>
    <t xml:space="preserve">Другие пособия и компенсации </t>
  </si>
  <si>
    <t>755</t>
  </si>
  <si>
    <t>Профилактика безнадзорности и правонарушений несовершеннолетних</t>
  </si>
  <si>
    <t>481</t>
  </si>
  <si>
    <t>Другие вопросы в области социальной политики</t>
  </si>
  <si>
    <t xml:space="preserve">001 00 00 </t>
  </si>
  <si>
    <t>админ</t>
  </si>
  <si>
    <t>263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</si>
  <si>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</si>
  <si>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002 47 00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</si>
  <si>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</si>
  <si>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002 47 02</t>
  </si>
  <si>
    <t>Субвенции на осуществление органами местного самоуправления областных государственных полномочий по предоставлению мер социальной поддержки многодетным и малоимущим семьям</t>
  </si>
  <si>
    <t>002 46 00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</si>
  <si>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</si>
  <si>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002 46 01</t>
  </si>
  <si>
    <t>Увеличение стоимости нематериальных активов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</si>
  <si>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</si>
  <si>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002 41 00</t>
  </si>
  <si>
    <t>795 02 00</t>
  </si>
  <si>
    <t>795 20 00</t>
  </si>
  <si>
    <t>795 22 00</t>
  </si>
  <si>
    <t>Обеспечение жильем молодых семей Усольского района на 2012-2019гг.</t>
  </si>
  <si>
    <t>795 34 00</t>
  </si>
  <si>
    <t>795 27 00</t>
  </si>
  <si>
    <t>Целевые программы муниципальных образований "Комплексные меры злаупотребления наркотиками"</t>
  </si>
  <si>
    <t>Почие услуги</t>
  </si>
  <si>
    <t>Почие услуги РОВД</t>
  </si>
  <si>
    <t xml:space="preserve">Социальная политика </t>
  </si>
  <si>
    <t>ФИЗКУЛЬТУРА И СПОРТ</t>
  </si>
  <si>
    <t>795 39  00</t>
  </si>
  <si>
    <t xml:space="preserve">Межбюджетные трансферты </t>
  </si>
  <si>
    <t xml:space="preserve">00 </t>
  </si>
  <si>
    <t xml:space="preserve">Дотации на выравнивание бюджетной обеспеченности поселений из районного фонда финансовой поддержки </t>
  </si>
  <si>
    <t>Выравнивание бюджетной обеспеченности</t>
  </si>
  <si>
    <t>516 00 00</t>
  </si>
  <si>
    <t>516 01 00</t>
  </si>
  <si>
    <t>Фонд финансовой поддержки</t>
  </si>
  <si>
    <t>008</t>
  </si>
  <si>
    <t>Безвозмездные перечисления бюджетам</t>
  </si>
  <si>
    <t>Перечисления другим бюджетам бюджетной системы Российской Федерации</t>
  </si>
  <si>
    <t>Прочие межбюджетные трансферты</t>
  </si>
  <si>
    <t>00 00 00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</si>
  <si>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</si>
  <si>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</si>
  <si>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521 06 00</t>
  </si>
  <si>
    <t>251</t>
  </si>
  <si>
    <t>Прочие межбюджетные трансферты общего характера</t>
  </si>
  <si>
    <t>795 36  00</t>
  </si>
  <si>
    <t>522 65 00</t>
  </si>
  <si>
    <t xml:space="preserve">ИТОГО: </t>
  </si>
  <si>
    <t>Председатель Комитета финансов администрации</t>
  </si>
  <si>
    <t>муниципального района УРМО</t>
  </si>
  <si>
    <t>Н.А.Касимовская</t>
  </si>
  <si>
    <t>120</t>
  </si>
  <si>
    <t>240</t>
  </si>
  <si>
    <t>850</t>
  </si>
  <si>
    <t>Расходы на выплату персоналу государственных органов</t>
  </si>
  <si>
    <t>Иные закупки товаров, работ и услуг для государственных нужд</t>
  </si>
  <si>
    <t>Уплата налогов, сборов и иных платежей</t>
  </si>
  <si>
    <t>870</t>
  </si>
  <si>
    <t>610</t>
  </si>
  <si>
    <t>121</t>
  </si>
  <si>
    <t>122</t>
  </si>
  <si>
    <t>244</t>
  </si>
  <si>
    <t>851</t>
  </si>
  <si>
    <t>"Профилактика правонарушений и общественной безопасности в Усольском районе в 2011-2015гг."</t>
  </si>
  <si>
    <t>Резервные средства</t>
  </si>
  <si>
    <t>Другие вопросы в области охраны окружающей среды</t>
  </si>
  <si>
    <t>Субсидии бюджетным учреждениям</t>
  </si>
  <si>
    <t>540</t>
  </si>
  <si>
    <t>110</t>
  </si>
  <si>
    <t>Расходы на выплату персоналу казенных учреждений</t>
  </si>
  <si>
    <t>Публичные нормативные социальные выплаты гражданам</t>
  </si>
  <si>
    <t>511</t>
  </si>
  <si>
    <t xml:space="preserve">Публичные нормативные социальные выплаты гражданам  </t>
  </si>
  <si>
    <t>к Решению Думы муниципального района</t>
  </si>
  <si>
    <t>Усольского районного муниципального образования</t>
  </si>
  <si>
    <t>7</t>
  </si>
  <si>
    <t>604 00 00</t>
  </si>
  <si>
    <t>Исполнение судебных актов, вступивших в силу до 1 января 2013 года,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не имеющих закрепленного жилого помещения</t>
  </si>
  <si>
    <t>Долгосрочная целевая программа Иркутской области «Повышение эффективности бюджетных расходов Иркутской области на 2011-2015 годы»</t>
  </si>
  <si>
    <t xml:space="preserve">РАСПРЕДЕЛЕНИЕ БЮДЖЕТНЫХ АССИГНОВАНИЙ </t>
  </si>
  <si>
    <t xml:space="preserve">ПО РАЗДЕЛАМ, ПОДРАЗДЕЛАМ, ЦЕЛЕВЫМ СТАТЬЯМ И ВИДАМ РАСХОДОВ </t>
  </si>
  <si>
    <t>ОБЩЕГОСУДАРСТВЕННЫЕ ВОПРОСЫ</t>
  </si>
  <si>
    <t>Безвозмездные и безвозвратные перечисления организациям, за исключением государственных и муниципальных организаций переданные Доп ЭК 8.30.00.00</t>
  </si>
  <si>
    <t>тыс.руб.</t>
  </si>
  <si>
    <t>Функционирование высшего должностного лица субъекта Российской Федерации и муниципального образования</t>
  </si>
  <si>
    <t>Н.А. Касимовская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</si>
  <si>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</si>
  <si>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</si>
  <si>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</si>
  <si>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</si>
  <si>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</si>
  <si>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</si>
  <si>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ОХРАНА ОКРУЖАЮЩЕЙ СРЕДЫ</t>
  </si>
  <si>
    <t>КУЛЬТУРА, КИНЕМАТОГРАФИЯ</t>
  </si>
  <si>
    <t>Комплектование книжных фондов библиотек муниципальных образований и государственных библиотек ОБ городов Москвы и Санкт-Петербурга за счет областного бюджета</t>
  </si>
  <si>
    <t>Комплектование книжных фондов библиотек муниципальных образований и государственных библиотек МБ городов Москвы и Санкт-Петербурга за счет областного бюджета</t>
  </si>
  <si>
    <t>СОЦИАЛЬНАЯ ПОЛИТИКА</t>
  </si>
  <si>
    <t>Предоставление гражданам субсидий на оплату жилых помещений и коммунальных услуг</t>
  </si>
  <si>
    <t>МЕЖБЮДЖЕТНЫЕ ТРАНСФЕРТЫ ОБЩЕГО ХАРАКТЕРА БЮДЖЕТАМ СУБЪЕКТОВ РОССИЙСКОЙ ФЕДЕРАЦИИ И МУНИЦИПАЛЬНЫХ ОБРАЗОВАНИЙ</t>
  </si>
  <si>
    <t>"Повышение эффективности бюджетных расходов УРМО на 2012-2014 гг."-20%</t>
  </si>
  <si>
    <t>"Повышение безопасности дорожного движения на территории Усольского района на 2013-2017 гг."</t>
  </si>
  <si>
    <t>"Поддержка и развитие малого предпринимательства в УРМО на 2009-2013 гг."</t>
  </si>
  <si>
    <t>"Улучшение условий и охрана труда в Усольском районном муниципальном образовании на 2011-2013 гг."</t>
  </si>
  <si>
    <t>"Проведение капитального ремонта многоквартирных жилых домов на территории Усольского района на 2012-2015 гг."</t>
  </si>
  <si>
    <t>"Переселение граждан Усольского района из ветхого и аварийного жилищного фонда на 2011-2013 гг."</t>
  </si>
  <si>
    <t>"Энергосбережение и повышение энергетической эффективности на территории УРМО на 2012-2016 гг."</t>
  </si>
  <si>
    <t>"Модернизация объектов коммунальной инфраструктуры Усольского района на 2012-2015 гг."</t>
  </si>
  <si>
    <t>"Защита окружающей среды в Усольском районе на 2013-2017 гг."</t>
  </si>
  <si>
    <t>"Улучшение условий и охраны труда, обеспечение санитарно-гигиенического режима в учреждениях культуры Усольского района на 2012-2014 гг."</t>
  </si>
  <si>
    <t>Долгосрочная целевая программа Иркутской области "Организация и обеспечение отдыха и оздоровления детей в Иркутской области на 2012-2014 гг."</t>
  </si>
  <si>
    <t>"Круглогодичный отдых, оздоровление и занятость детей и подростков на 2013-2015 гг."</t>
  </si>
  <si>
    <t>"Будущее за молодыми на 2011-2013 гг."</t>
  </si>
  <si>
    <t>"Обеспечение жильем молодых семей на 2012-2019 гг."</t>
  </si>
  <si>
    <t>"Обеспечение пожарной безопасности в образовательных учреждениях Усольского района на 2012-2014 гг."</t>
  </si>
  <si>
    <t>"Информатизация системы образования Усольского района в 2012-2014 гг."</t>
  </si>
  <si>
    <t>"Обеспечение охраны образовательных учреждений Усольского района в 2012-2014 гг."</t>
  </si>
  <si>
    <t>"Обеспечение безопасности школьных перевозок  детей образовательными учреждениями Усольского района в 2012-2014 гг."</t>
  </si>
  <si>
    <t>"Обучение и воспитание одаренных детей в Усольском районе на 2012-2014 гг."</t>
  </si>
  <si>
    <t>"Здоровое поколение в 2012-2014 гг."</t>
  </si>
  <si>
    <t>"Улучшение условий охраны труда ,обеспечение санитарно-гигиенического благополучия в образовательных учреждениях Усольского района в 2012-2014 гг."</t>
  </si>
  <si>
    <t>"Развитие дошкольного образования на территории Усольского района 2012-2015 гг."</t>
  </si>
  <si>
    <t>"Обеспечение пожарной безопасности в учреждениях культуры Усольского района на 2011-2013 гг."</t>
  </si>
  <si>
    <t>"Развитие культуры Усольского муниципального образования на 2013-2015 гг."</t>
  </si>
  <si>
    <t>"Комплексные меры противодействия злоупотребления наркотическими средствами и психотропными веществами и их незаконному обороту на 2011-2013 гг."</t>
  </si>
  <si>
    <t>"Профилактика безнадзорности и правонарушений несовершеннолетних в Усольском районе на 2011 -2013 гг."</t>
  </si>
  <si>
    <t>"Социально - экономическая поддержка молодых специалистов в муниципальных учреждениях образования и культыры УРМО на 2012-2014 гг."</t>
  </si>
  <si>
    <t>"Старшее поколение на 2012-2014 гг."</t>
  </si>
  <si>
    <t>"Развитие физической культуры и спорта в муниципальном районе УРМО на 2012-2014 гг."</t>
  </si>
  <si>
    <t>440 02 00</t>
  </si>
  <si>
    <t>Учреждения культуры и мероприятия в сфере культуры и кинематографии</t>
  </si>
  <si>
    <t>Обеспечение деятельности (оказание услуг) подведомственных учреждений</t>
  </si>
  <si>
    <t>"Празднование Победы в Великой Отечественной войне на 2012 - 2014 гг."</t>
  </si>
  <si>
    <t>Публичные нормативные социальные выплаты гражданам МБ</t>
  </si>
  <si>
    <t>Наименование</t>
  </si>
  <si>
    <t>РЗ</t>
  </si>
  <si>
    <t>ПР</t>
  </si>
  <si>
    <t>КЦСР</t>
  </si>
  <si>
    <t>КВР</t>
  </si>
  <si>
    <t>2013 г.</t>
  </si>
  <si>
    <t>2014 г.</t>
  </si>
  <si>
    <t>2015 г.</t>
  </si>
  <si>
    <t>9</t>
  </si>
  <si>
    <t>10</t>
  </si>
  <si>
    <t>Общегосударственные вопросы</t>
  </si>
  <si>
    <t>01</t>
  </si>
  <si>
    <t>00</t>
  </si>
  <si>
    <t>000 00 00</t>
  </si>
  <si>
    <t>000</t>
  </si>
  <si>
    <t>902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</si>
  <si>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</si>
  <si>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</si>
  <si>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</si>
  <si>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</si>
  <si>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</si>
  <si>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</si>
  <si>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</si>
  <si>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Расходы</t>
  </si>
  <si>
    <t>Оплата труда и начисления на оплату труда</t>
  </si>
  <si>
    <t>Заработная плата</t>
  </si>
  <si>
    <t>Прочие выплаты</t>
  </si>
  <si>
    <t>Начисление на оплату труда</t>
  </si>
  <si>
    <t>211</t>
  </si>
  <si>
    <t>212</t>
  </si>
  <si>
    <t>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</si>
  <si>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</si>
  <si>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</si>
  <si>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</si>
  <si>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</si>
  <si>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Приобретение услуг</t>
  </si>
  <si>
    <t xml:space="preserve">Услуги связи </t>
  </si>
  <si>
    <t>Транспортные услуги</t>
  </si>
  <si>
    <t>Услуги по содержанию иммущества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</si>
  <si>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</si>
  <si>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</si>
  <si>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</si>
  <si>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</si>
  <si>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</si>
  <si>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Председатель представительного органа муниципального образования</t>
  </si>
  <si>
    <t>002 11 00</t>
  </si>
  <si>
    <t>221</t>
  </si>
  <si>
    <t>222</t>
  </si>
  <si>
    <t>225</t>
  </si>
  <si>
    <t>226</t>
  </si>
  <si>
    <t>290</t>
  </si>
  <si>
    <t>310</t>
  </si>
  <si>
    <t>340</t>
  </si>
  <si>
    <t>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</si>
  <si>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</si>
  <si>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Коммунальные услуги</t>
  </si>
  <si>
    <t xml:space="preserve">Арендная плата за пользование иммуществом </t>
  </si>
  <si>
    <t>223</t>
  </si>
  <si>
    <t>224</t>
  </si>
  <si>
    <t>262</t>
  </si>
  <si>
    <t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t>
  </si>
  <si>
    <t>594 00 00</t>
  </si>
  <si>
    <t>05</t>
  </si>
  <si>
    <t>Руководство и управление в сфере установленных функций</t>
  </si>
  <si>
    <t>001 00 00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</si>
  <si>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</si>
  <si>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</si>
  <si>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901</t>
  </si>
  <si>
    <t>07</t>
  </si>
  <si>
    <t>11</t>
  </si>
  <si>
    <t>Резервные фонды</t>
  </si>
  <si>
    <t>070 00 00</t>
  </si>
  <si>
    <t>Резервные фонды местных администраций</t>
  </si>
  <si>
    <t>070 05 00</t>
  </si>
  <si>
    <t xml:space="preserve">Другие общегосударственные вопросы </t>
  </si>
  <si>
    <t>13</t>
  </si>
  <si>
    <t xml:space="preserve">000 </t>
  </si>
  <si>
    <t>002 47 01</t>
  </si>
  <si>
    <t>Увеличение стоймости основных средств</t>
  </si>
  <si>
    <t>Осуществление отдельных областных государственных полномочий в области охраны труда</t>
  </si>
  <si>
    <t>002 45 00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</si>
  <si>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</si>
  <si>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002 40 00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</si>
  <si>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</si>
  <si>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002 43 00</t>
  </si>
  <si>
    <t xml:space="preserve">Осуществление отдельных государственных полномочий по осуществлению лицензирования розничной продажи алкогольной продукции </t>
  </si>
  <si>
    <t>002 44 00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</si>
  <si>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</si>
  <si>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</si>
  <si>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</si>
  <si>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</si>
  <si>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Оплата работ, услуг</t>
  </si>
  <si>
    <t>Прочие работы, услуги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</si>
  <si>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</si>
  <si>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</si>
  <si>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</si>
  <si>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</si>
  <si>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906</t>
  </si>
  <si>
    <t>Субвенция бюджетам муниципальных районов на осуществление полномочий по подготовке и проведению  статистической переписи</t>
  </si>
  <si>
    <t>001 43 00</t>
  </si>
  <si>
    <t xml:space="preserve">Обслуживание долговых обязательств </t>
  </si>
  <si>
    <t xml:space="preserve">Увеличение задолженности по бюджетным кредитам </t>
  </si>
  <si>
    <t xml:space="preserve">Уменьшение задолженности по бюджетным кредитам </t>
  </si>
  <si>
    <t>ИТОГО:</t>
  </si>
  <si>
    <t xml:space="preserve">Целевые программы муниципальных образований </t>
  </si>
  <si>
    <t>795 00 00</t>
  </si>
  <si>
    <t>Долгосрочная целевая программа Иркутской области «Повышение эффективности бюджетных расходов Иркутской области на 2011-2013 годы»-20%</t>
  </si>
  <si>
    <t>795 38 00</t>
  </si>
  <si>
    <t>Национальная безопасность и правоохранительная деятельность</t>
  </si>
  <si>
    <t>Органы внутренних дел</t>
  </si>
  <si>
    <t>Целевые программы муниципальных образований</t>
  </si>
  <si>
    <t>795 21 00</t>
  </si>
  <si>
    <t>903</t>
  </si>
  <si>
    <t>795 23 00</t>
  </si>
  <si>
    <t>Другие вопросы в области национальной безопасности и правоохранительной деятельности</t>
  </si>
  <si>
    <t>14</t>
  </si>
  <si>
    <t>"Пожарная безопасность ,организация  и осуществление  мероприятий по защите населения  и территории  от ЧС природного и техногенного хар-ра на территории  муниципального района  на 2011-2012 гг"</t>
  </si>
  <si>
    <t>795 32 00</t>
  </si>
  <si>
    <t>"О мерах по противодействию экстремизму и терроизму вУсольском районе на 2011-2012гг"</t>
  </si>
  <si>
    <t>795 37 00</t>
  </si>
  <si>
    <t>Приобретение работ, услуг</t>
  </si>
  <si>
    <t>Национальная экономика</t>
  </si>
  <si>
    <t>Общеэкономические вопросы</t>
  </si>
  <si>
    <t>Оплата труда и начисления на выплаты по оплате труда</t>
  </si>
  <si>
    <t>Начисления на выплаты по оплате труда</t>
  </si>
  <si>
    <t>Услуги связи</t>
  </si>
  <si>
    <t xml:space="preserve">Транспортные услуги </t>
  </si>
  <si>
    <t>Арендная плата за пользование имуществом</t>
  </si>
  <si>
    <t>Работы, услуги по содержанию имущества</t>
  </si>
  <si>
    <t>521 02 05</t>
  </si>
  <si>
    <t>Осуществление отдельных государственных полномочий по регулированию тарифов на тепловую энергию</t>
  </si>
  <si>
    <t>002 42 00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</si>
  <si>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</si>
  <si>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</si>
  <si>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</si>
  <si>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338 00 00</t>
  </si>
  <si>
    <t>Подготовка и утверждение документов территориального планирования, документации по планировке территории муниципальных образований Иркутской области</t>
  </si>
  <si>
    <t>588 00 00</t>
  </si>
  <si>
    <t>Фонд софинансирования</t>
  </si>
  <si>
    <t>010</t>
  </si>
  <si>
    <t>587 00 00</t>
  </si>
  <si>
    <t>Долгосрочные целевые программы</t>
  </si>
  <si>
    <t>522 00 00</t>
  </si>
  <si>
    <t>Долгосрочная   целевая программа "Поддержка  и развитие  малолго и  среднего предпринимательства в Иркутской области на 2011-2012гг."</t>
  </si>
  <si>
    <t>522 24 00</t>
  </si>
  <si>
    <t>Подготовка и утверждение документации территориального  планирования, документации по планировке  территории муниципальных образований Иркутской области</t>
  </si>
  <si>
    <t>522 57 01</t>
  </si>
  <si>
    <t xml:space="preserve">522 57 01 </t>
  </si>
  <si>
    <t xml:space="preserve">Частичное возмещение транспортных расходов юридических лиц и индивидуальных предпринимателей, осуществляющих торговую деятельность и доставку товаров первой необходимости </t>
  </si>
  <si>
    <t>Субсидии юридическим лицам</t>
  </si>
  <si>
    <t>006</t>
  </si>
  <si>
    <t>Безвозмездные перечисления организациям</t>
  </si>
  <si>
    <t xml:space="preserve">Прочие услуги </t>
  </si>
  <si>
    <t>905</t>
  </si>
  <si>
    <t>795 29 00</t>
  </si>
  <si>
    <t>795 28 00</t>
  </si>
  <si>
    <t>"Развитие торговли на 2013-2017гг."</t>
  </si>
  <si>
    <t>795 42 00</t>
  </si>
  <si>
    <t>,</t>
  </si>
  <si>
    <t xml:space="preserve">Безвозмездные и безвозвратные перечисления государственным организациям </t>
  </si>
  <si>
    <t>Жилищное хозяйство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</si>
  <si>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</t>
  </si>
  <si>
    <t>002 48 02</t>
  </si>
  <si>
    <t>Бюджетные инвестиции</t>
  </si>
  <si>
    <t>003</t>
  </si>
  <si>
    <t>Субвенции  на осуществление органами местного самоуправления ОГП по обеспечению жилыми помещениями детей сирот, оставшихся без попечения родителей</t>
  </si>
  <si>
    <t>505 36 00</t>
  </si>
  <si>
    <t>ФБ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</si>
  <si>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ФБ</t>
  </si>
  <si>
    <t>"Переселение  граждан из ветхого и аварийного  жилиго фонда  на 2011-2013 гг"</t>
  </si>
  <si>
    <t>795 24 00</t>
  </si>
  <si>
    <t>Прочие расходы "Переселение граждан из ветхого и аварийного жилья"</t>
  </si>
  <si>
    <t>Увеличение стоимости основных средств "Переселение граждан из ветхого и авар жилья"</t>
  </si>
  <si>
    <t>"Проведение капитального ремонта  многоквартирных жилых  домов на территории Усольского района  на 2012-2015 гг"</t>
  </si>
  <si>
    <t>795 36 00</t>
  </si>
  <si>
    <t>Коммунальное хозяйство</t>
  </si>
  <si>
    <t>Резервные фонды исполнительных органов государственной власти субъектов Российской Федерации</t>
  </si>
  <si>
    <t>070 04 00</t>
  </si>
  <si>
    <t>070  04 00</t>
  </si>
  <si>
    <t xml:space="preserve">Поддержка коммунального хозяйства 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</si>
  <si>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</si>
  <si>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</si>
  <si>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</si>
  <si>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 xml:space="preserve">Безвозмездные и безвозвратные перечисления  организациям </t>
  </si>
  <si>
    <t>Безвозмездные и безвозвратные перечисления организациям, за исключением государственных и муниципальных организаций район</t>
  </si>
  <si>
    <t>Мероприятия в области коммунального хозяйства по подготовке к зиме</t>
  </si>
  <si>
    <t>351 05 00</t>
  </si>
  <si>
    <t xml:space="preserve">Софинансирование социальных программ субъектов Российской Федерации, связанных с предоставлением субсидий бюджетам субъектов Российской Федерации на социальные программы субъектов Российской Федерации, связанные с укреплением материально-технической базы </t>
  </si>
  <si>
    <t>521 00 00</t>
  </si>
  <si>
    <t>Субсидии в целях софинансирования расходных обязательств по организации в границах муниципальных образований электро-, тепло-, водоснабжения населения</t>
  </si>
  <si>
    <t>521 01 05</t>
  </si>
  <si>
    <t>Безвозмездные и безвозвратные перечисления организациям, за исключением государственных и муниципальных организаций</t>
  </si>
  <si>
    <t>Долгосрочные целевые программы ОБ</t>
  </si>
  <si>
    <t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t>
  </si>
  <si>
    <t>522 54 00</t>
  </si>
  <si>
    <t xml:space="preserve">Услуги по содержанию имущества </t>
  </si>
  <si>
    <t>795 25 00</t>
  </si>
  <si>
    <t>904</t>
  </si>
  <si>
    <t>795 26 00</t>
  </si>
  <si>
    <t xml:space="preserve">Прочие расходы </t>
  </si>
  <si>
    <t>79500 00</t>
  </si>
  <si>
    <t xml:space="preserve">Жилищно- коммунальное хозяйство </t>
  </si>
  <si>
    <t>241</t>
  </si>
  <si>
    <t>"Модернизация объектов  коммунальной инфраструктуры"</t>
  </si>
  <si>
    <t>795 26  00</t>
  </si>
  <si>
    <t>795 41 00</t>
  </si>
  <si>
    <t>Дошкольное образование</t>
  </si>
  <si>
    <t>Детские дошкольные учреждения</t>
  </si>
  <si>
    <t>420 00 00</t>
  </si>
  <si>
    <t>Обеспечение деятельности подведомственных учреждений</t>
  </si>
  <si>
    <t>420 99 00</t>
  </si>
  <si>
    <t>Выполнение функций бюджетными учреждениями</t>
  </si>
  <si>
    <t>001</t>
  </si>
  <si>
    <t>Социальное обеспечение</t>
  </si>
  <si>
    <t>Пособия по социальной помощи населению</t>
  </si>
  <si>
    <t>Субсидии некоммерческим организациям</t>
  </si>
  <si>
    <t>019</t>
  </si>
  <si>
    <t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t>
  </si>
  <si>
    <t>589 00 00</t>
  </si>
  <si>
    <t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t>
  </si>
  <si>
    <t>590 00 00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</si>
  <si>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</si>
  <si>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</si>
  <si>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</si>
  <si>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</si>
  <si>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423 99 00</t>
  </si>
  <si>
    <t>002 50 00</t>
  </si>
  <si>
    <t>Учреждения по внешкольной работе с детьми</t>
  </si>
  <si>
    <t>423 00 00</t>
  </si>
  <si>
    <t>Учреждения по внешкольной работе с детьми ( музыкальные школы)</t>
  </si>
  <si>
    <t>327</t>
  </si>
  <si>
    <t>795 18 00</t>
  </si>
  <si>
    <t>Иные безвозмездные и безвозвратные перечисления</t>
  </si>
  <si>
    <t>520 00 00</t>
  </si>
  <si>
    <t>Ежемесячное денежное вознаграждение за классное руководство</t>
  </si>
  <si>
    <t>520 09 00</t>
  </si>
  <si>
    <t>Улучшение условий и охраны труда, обеспечение санитарно-гигиенического режима в учреждениях культуры Усольского района на 2012-2014годы</t>
  </si>
  <si>
    <t>795 35 00</t>
  </si>
  <si>
    <t>Молодежная политика и оздоровление детей</t>
  </si>
  <si>
    <t>005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</si>
  <si>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</si>
  <si>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</si>
  <si>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</si>
  <si>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</si>
  <si>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522 62 00</t>
  </si>
  <si>
    <t>Выполнение функций бюджетными учреждениями ОБ</t>
  </si>
  <si>
    <t>Выполнение функций бюджетными учреждениями МБ</t>
  </si>
  <si>
    <t>522 62 01</t>
  </si>
  <si>
    <t xml:space="preserve">Увеличение стоимости материальных запасов </t>
  </si>
  <si>
    <t xml:space="preserve">Мероприятия по проведению оздоровительной кампании детей </t>
  </si>
  <si>
    <t>432 00 00</t>
  </si>
  <si>
    <t xml:space="preserve">Оздоровление детей </t>
  </si>
  <si>
    <t>432 03 00</t>
  </si>
  <si>
    <t>Увеличение стоимости материальных запасов  ОБ</t>
  </si>
  <si>
    <t>432 03 01</t>
  </si>
  <si>
    <t>Увеличение стоимости материальных запасов МБ</t>
  </si>
  <si>
    <t>432 03 02</t>
  </si>
  <si>
    <t>795 04 00</t>
  </si>
  <si>
    <t>795 19 00</t>
  </si>
  <si>
    <t>907</t>
  </si>
  <si>
    <t>908</t>
  </si>
  <si>
    <t>Прочие услуги "Круглогодичный отдых"</t>
  </si>
  <si>
    <t>910</t>
  </si>
  <si>
    <t>911</t>
  </si>
  <si>
    <t>912</t>
  </si>
  <si>
    <t>795 30 00</t>
  </si>
  <si>
    <t>Другие вопросы в области образования</t>
  </si>
  <si>
    <t>09</t>
  </si>
  <si>
    <t>Межбюджетные трансферты на погашение кредиторской задолженности муниципальных учреждений по страховым взносам в Пенсионный фонд Российской Федерации на обязательное пенсионное страхование, сложившейся за период с 1 января 2001 года до 1 января 2010 года</t>
  </si>
  <si>
    <t>603 00 00</t>
  </si>
  <si>
    <t>РАСХОДЫ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</si>
  <si>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</si>
  <si>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</si>
  <si>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</si>
  <si>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795 01 00</t>
  </si>
  <si>
    <t xml:space="preserve">07 </t>
  </si>
  <si>
    <t>795 03 00</t>
  </si>
  <si>
    <t>795 05 00</t>
  </si>
  <si>
    <t>795 06 00</t>
  </si>
  <si>
    <t>795 07 00</t>
  </si>
  <si>
    <t>795 08 00</t>
  </si>
  <si>
    <t>795 09 00</t>
  </si>
  <si>
    <t>795 10 00</t>
  </si>
  <si>
    <t>795 33 00</t>
  </si>
  <si>
    <t xml:space="preserve">Пособие по социальной помощи населению </t>
  </si>
  <si>
    <t>08</t>
  </si>
  <si>
    <t xml:space="preserve">Культура </t>
  </si>
  <si>
    <t>440 00 00</t>
  </si>
  <si>
    <t>440 99 00</t>
  </si>
  <si>
    <t>Долгосрочная целевая программа Иркутской области «100 модельных домов культуры Приангарью» на 2011-2014 годы</t>
  </si>
  <si>
    <t>522 55 00</t>
  </si>
  <si>
    <t>Библиотеки</t>
  </si>
  <si>
    <t>442 00 00</t>
  </si>
  <si>
    <t>442 99 00</t>
  </si>
  <si>
    <t>440 02 01</t>
  </si>
  <si>
    <t>Иные межбюджетные трансферты</t>
  </si>
  <si>
    <t>017</t>
  </si>
  <si>
    <t>Государственная поддержка в сфере культуры, кинематографии и средств массовой информации</t>
  </si>
  <si>
    <t>Учебно-методические кабинеты, центральные бухгалтерии, группы хоз.обслуживания, учебные фильмотеки</t>
  </si>
  <si>
    <t>Региональные целевые программы</t>
  </si>
  <si>
    <t>"Модернизация объектов  коммунальной инфраструктуры Усольского района на 2012-2015 гг."</t>
  </si>
  <si>
    <t>795 24  00</t>
  </si>
  <si>
    <t>795 25  00</t>
  </si>
  <si>
    <t>795 39 00</t>
  </si>
  <si>
    <t>435 99 00</t>
  </si>
  <si>
    <t xml:space="preserve">Публичные нормативные социальные выплаты гражданам </t>
  </si>
  <si>
    <t>302</t>
  </si>
  <si>
    <t>303</t>
  </si>
  <si>
    <t>ФИЗИЧЕСКАЯ КУЛЬТУРА И СПОРТ</t>
  </si>
  <si>
    <t xml:space="preserve">Физическая культура   </t>
  </si>
  <si>
    <t>Физкультурно-оздоровительная работа и спортивные мероприятия</t>
  </si>
  <si>
    <t>512 00 00</t>
  </si>
  <si>
    <t>Мероприятия в области физической культуры и спорта</t>
  </si>
  <si>
    <t xml:space="preserve"> 01</t>
  </si>
  <si>
    <t>Водное хозяйство</t>
  </si>
  <si>
    <t>522 25 00</t>
  </si>
  <si>
    <t>522 25 03</t>
  </si>
  <si>
    <t>Долгосрочная целевая программа Иркутской области «Защита окружающей среды  в Иркутской области» на 2011-2015 годы</t>
  </si>
  <si>
    <t>Подпрограмма "Развитие водохозяйственного комплекса  в Иркутской области  на 2013-2015 годы"</t>
  </si>
  <si>
    <t>окна</t>
  </si>
  <si>
    <t>Реализация мероприятий перечня пректов народных инициатив</t>
  </si>
  <si>
    <t>593 00 00</t>
  </si>
  <si>
    <t>435 00 00</t>
  </si>
  <si>
    <t>Учреждения, обеспечивающие предоставление услуг в сфере образования</t>
  </si>
  <si>
    <t>Реализация мероприятий перечня проектов народных инициатив</t>
  </si>
  <si>
    <t xml:space="preserve">610 </t>
  </si>
  <si>
    <t>522 76 00</t>
  </si>
  <si>
    <t>ДЦП Иркутской области "Публичные центры правовой, деловой и социально-значимой информации центральных районных библиотек в Иркутской области 2013-2014 гг."</t>
  </si>
  <si>
    <t>программы</t>
  </si>
  <si>
    <t>Совершенствование организации питания в образовательных учреждениях Усольского района на 2013-2015гг</t>
  </si>
  <si>
    <t>Долгосрочная целевая программа Иркутской области «Энергосбережение и повышение энергетической эффективности  на территории Иркутской области на 2011-2015 годы  и на период до 2020 года"</t>
  </si>
  <si>
    <t>ДЦП Иркутской области " Социальное развитие села"</t>
  </si>
  <si>
    <t>522 18 00</t>
  </si>
  <si>
    <t>ГРБС</t>
  </si>
  <si>
    <t>2013г.</t>
  </si>
  <si>
    <t>изменения</t>
  </si>
  <si>
    <t>увеличение</t>
  </si>
  <si>
    <t>Комплектование книжных фондов библиотек муниципальных образований и государственных библиотек за счет средств местного бюджета</t>
  </si>
  <si>
    <t>дума</t>
  </si>
  <si>
    <t>"Развитие физической культуры  и спорта в муниципальном районе УРМО на 2012-2014гг."</t>
  </si>
  <si>
    <t>"Социальное развитие села Усольского района на 2013-2014гг"</t>
  </si>
  <si>
    <t>795 43 00</t>
  </si>
  <si>
    <t>2013 год</t>
  </si>
  <si>
    <t>август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</si>
  <si>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</si>
  <si>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РФ</t>
  </si>
  <si>
    <t>001 40 00</t>
  </si>
  <si>
    <t>Малое и среднее предпринимательство</t>
  </si>
  <si>
    <t>345 00 00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</si>
  <si>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</si>
  <si>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345 01 00</t>
  </si>
  <si>
    <t>Долгосрочная целевая программа «Поддержка и развитие малого и среднего предпринимательства в Иркутской области» на 2011-2012 годы</t>
  </si>
  <si>
    <t>"Обеспечение пожарной безопасности в учреждениях культуры Усольского района на 2012-2013 гг."</t>
  </si>
  <si>
    <t>КЛАССИФИКАЦИИ РАСХОДОВ БЮДЖЕТА НА 2013 ГОД</t>
  </si>
  <si>
    <t>Долгосрочные целевые программы Иркутской области</t>
  </si>
  <si>
    <t>Реализация мероприятий перечня пректов народных инициатив (ДК)</t>
  </si>
  <si>
    <t>Реализация мероприятий перечня проектов народных инициатив (Библ)</t>
  </si>
  <si>
    <t>Выплаты пенсии государственных служащих субъектов Российской Федерации и муниципальных служащих</t>
  </si>
  <si>
    <t>Дотации на выравнивание бюджетной обеспеченности субъектов Российской Федерации и муниципальных образований</t>
  </si>
  <si>
    <t>Комплектование книжных фондов библиотек муниципальных образований и государственных библиотек</t>
  </si>
  <si>
    <t>Комплектование книжных фондов библиотек муниципальных образований и государственных библиотек за счет средств федерального бюджета</t>
  </si>
  <si>
    <t>Комплектование книжных фондов библиотек муниципальных образований и государственных библиотек за счет средств областного бюджета</t>
  </si>
  <si>
    <t>Плановые назначения на 2013 год</t>
  </si>
  <si>
    <t>Субвенции</t>
  </si>
  <si>
    <t>530</t>
  </si>
  <si>
    <t>ДЦП Иркутской области " Развитие дошкольного образования"</t>
  </si>
  <si>
    <t>522 37 00</t>
  </si>
  <si>
    <t>520 09 01</t>
  </si>
  <si>
    <t>520 09 02</t>
  </si>
  <si>
    <t>"Повышение эффективности бюджетных расходов УРМО на 2012-2014 гг."</t>
  </si>
  <si>
    <t>"Развитие дошкольного образования на территории Усольского района на 2012-2015 гг."</t>
  </si>
  <si>
    <t>Приложение №2</t>
  </si>
  <si>
    <t>Исполнение</t>
  </si>
  <si>
    <t>% исполнения</t>
  </si>
  <si>
    <t>8</t>
  </si>
  <si>
    <t>630</t>
  </si>
  <si>
    <t>№  114 от  29.04.2014 г.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</si>
</sst>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0.0"/>
    <numFmt numFmtId="182" formatCode="0.000"/>
    <numFmt numFmtId="183" formatCode="0_ ;[Red]\-0\ "/>
    <numFmt numFmtId="184" formatCode="0.00_ ;[Red]\-0.00\ "/>
    <numFmt numFmtId="185" formatCode="#,##0.0"/>
    <numFmt numFmtId="186" formatCode="#,##0.000"/>
    <numFmt numFmtId="187" formatCode="#,##0.0000"/>
    <numFmt numFmtId="188" formatCode="#,##0.00000"/>
    <numFmt numFmtId="189" formatCode="0.0%"/>
    <numFmt numFmtId="190" formatCode="0.00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0"/>
    <numFmt numFmtId="197" formatCode="0.000000"/>
    <numFmt numFmtId="198" formatCode="_-* #,##0.0_р_._-;\-* #,##0.0_р_._-;_-* &quot;-&quot;??_р_._-;_-@_-"/>
    <numFmt numFmtId="199" formatCode="#,##0.000000"/>
    <numFmt numFmtId="200" formatCode="#,##0.0000000"/>
    <numFmt numFmtId="201" formatCode="#,##0.0_ ;[Red]\-#,##0.0\ "/>
    <numFmt numFmtId="202" formatCode="[$-FC19]d\ mmmm\ yyyy\ &quot;г.&quot;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.5"/>
      <color indexed="8"/>
      <name val="Arial Cyr"/>
      <family val="0"/>
    </font>
    <font>
      <sz val="1.35"/>
      <color indexed="8"/>
      <name val="Arial Cyr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27">
    <xf numFmtId="0" fontId="0" fillId="0" borderId="0" xfId="0" applyAlignment="1">
      <alignment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4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49" fontId="23" fillId="0" borderId="0" xfId="0" applyNumberFormat="1" applyFont="1" applyFill="1" applyAlignment="1">
      <alignment vertical="center"/>
    </xf>
    <xf numFmtId="198" fontId="23" fillId="0" borderId="0" xfId="60" applyNumberFormat="1" applyFont="1" applyFill="1" applyBorder="1" applyAlignment="1">
      <alignment wrapText="1"/>
    </xf>
    <xf numFmtId="4" fontId="23" fillId="0" borderId="0" xfId="60" applyNumberFormat="1" applyFont="1" applyFill="1" applyBorder="1" applyAlignment="1">
      <alignment wrapText="1"/>
    </xf>
    <xf numFmtId="0" fontId="23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49" fontId="25" fillId="0" borderId="10" xfId="0" applyNumberFormat="1" applyFont="1" applyFill="1" applyBorder="1" applyAlignment="1">
      <alignment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180" fontId="25" fillId="0" borderId="12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188" fontId="25" fillId="0" borderId="10" xfId="0" applyNumberFormat="1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/>
    </xf>
    <xf numFmtId="180" fontId="20" fillId="0" borderId="12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188" fontId="20" fillId="0" borderId="10" xfId="0" applyNumberFormat="1" applyFont="1" applyFill="1" applyBorder="1" applyAlignment="1">
      <alignment vertical="center"/>
    </xf>
    <xf numFmtId="49" fontId="20" fillId="0" borderId="14" xfId="0" applyNumberFormat="1" applyFont="1" applyFill="1" applyBorder="1" applyAlignment="1">
      <alignment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/>
    </xf>
    <xf numFmtId="180" fontId="20" fillId="0" borderId="19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0" fontId="21" fillId="0" borderId="21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vertical="center" wrapText="1"/>
    </xf>
    <xf numFmtId="49" fontId="20" fillId="0" borderId="21" xfId="0" applyNumberFormat="1" applyFont="1" applyFill="1" applyBorder="1" applyAlignment="1">
      <alignment vertical="center" wrapText="1"/>
    </xf>
    <xf numFmtId="0" fontId="20" fillId="0" borderId="25" xfId="0" applyFont="1" applyFill="1" applyBorder="1" applyAlignment="1">
      <alignment vertical="center" wrapText="1"/>
    </xf>
    <xf numFmtId="49" fontId="20" fillId="0" borderId="26" xfId="0" applyNumberFormat="1" applyFont="1" applyFill="1" applyBorder="1" applyAlignment="1">
      <alignment vertical="center" wrapText="1"/>
    </xf>
    <xf numFmtId="188" fontId="20" fillId="0" borderId="26" xfId="0" applyNumberFormat="1" applyFont="1" applyFill="1" applyBorder="1" applyAlignment="1">
      <alignment vertical="center"/>
    </xf>
    <xf numFmtId="0" fontId="20" fillId="0" borderId="14" xfId="0" applyFont="1" applyFill="1" applyBorder="1" applyAlignment="1">
      <alignment vertical="center" wrapText="1"/>
    </xf>
    <xf numFmtId="0" fontId="20" fillId="0" borderId="23" xfId="0" applyFont="1" applyFill="1" applyBorder="1" applyAlignment="1">
      <alignment vertical="center" wrapText="1"/>
    </xf>
    <xf numFmtId="0" fontId="20" fillId="0" borderId="26" xfId="0" applyFont="1" applyFill="1" applyBorder="1" applyAlignment="1">
      <alignment vertical="center" wrapText="1"/>
    </xf>
    <xf numFmtId="49" fontId="20" fillId="0" borderId="27" xfId="0" applyNumberFormat="1" applyFont="1" applyFill="1" applyBorder="1" applyAlignment="1">
      <alignment horizontal="center" vertical="center" wrapText="1"/>
    </xf>
    <xf numFmtId="49" fontId="20" fillId="0" borderId="28" xfId="0" applyNumberFormat="1" applyFont="1" applyFill="1" applyBorder="1" applyAlignment="1">
      <alignment horizontal="center" vertical="center"/>
    </xf>
    <xf numFmtId="188" fontId="20" fillId="0" borderId="25" xfId="0" applyNumberFormat="1" applyFont="1" applyFill="1" applyBorder="1" applyAlignment="1">
      <alignment vertical="center"/>
    </xf>
    <xf numFmtId="0" fontId="20" fillId="0" borderId="23" xfId="0" applyFont="1" applyFill="1" applyBorder="1" applyAlignment="1" applyProtection="1">
      <alignment horizontal="left" vertical="center" wrapText="1"/>
      <protection/>
    </xf>
    <xf numFmtId="49" fontId="25" fillId="0" borderId="27" xfId="0" applyNumberFormat="1" applyFont="1" applyFill="1" applyBorder="1" applyAlignment="1">
      <alignment horizontal="center" vertical="center" wrapText="1"/>
    </xf>
    <xf numFmtId="49" fontId="25" fillId="0" borderId="28" xfId="0" applyNumberFormat="1" applyFont="1" applyFill="1" applyBorder="1" applyAlignment="1">
      <alignment horizontal="center" vertical="center"/>
    </xf>
    <xf numFmtId="49" fontId="25" fillId="0" borderId="26" xfId="0" applyNumberFormat="1" applyFont="1" applyFill="1" applyBorder="1" applyAlignment="1">
      <alignment vertical="center" wrapText="1"/>
    </xf>
    <xf numFmtId="0" fontId="20" fillId="17" borderId="0" xfId="0" applyFont="1" applyFill="1" applyAlignment="1">
      <alignment vertical="center"/>
    </xf>
    <xf numFmtId="4" fontId="20" fillId="0" borderId="0" xfId="0" applyNumberFormat="1" applyFont="1" applyFill="1" applyAlignment="1">
      <alignment vertical="center"/>
    </xf>
    <xf numFmtId="49" fontId="20" fillId="0" borderId="23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29" xfId="0" applyNumberFormat="1" applyFont="1" applyFill="1" applyBorder="1" applyAlignment="1">
      <alignment vertical="center" wrapText="1"/>
    </xf>
    <xf numFmtId="49" fontId="20" fillId="0" borderId="30" xfId="0" applyNumberFormat="1" applyFont="1" applyFill="1" applyBorder="1" applyAlignment="1">
      <alignment horizontal="center" vertical="center" wrapText="1"/>
    </xf>
    <xf numFmtId="49" fontId="20" fillId="0" borderId="31" xfId="0" applyNumberFormat="1" applyFont="1" applyFill="1" applyBorder="1" applyAlignment="1">
      <alignment horizontal="center" vertical="center"/>
    </xf>
    <xf numFmtId="180" fontId="20" fillId="0" borderId="31" xfId="0" applyNumberFormat="1" applyFont="1" applyFill="1" applyBorder="1" applyAlignment="1">
      <alignment horizontal="center" vertical="center"/>
    </xf>
    <xf numFmtId="49" fontId="20" fillId="0" borderId="32" xfId="0" applyNumberFormat="1" applyFont="1" applyFill="1" applyBorder="1" applyAlignment="1">
      <alignment horizontal="center" vertical="center"/>
    </xf>
    <xf numFmtId="188" fontId="20" fillId="0" borderId="29" xfId="0" applyNumberFormat="1" applyFont="1" applyFill="1" applyBorder="1" applyAlignment="1">
      <alignment vertical="center"/>
    </xf>
    <xf numFmtId="49" fontId="20" fillId="0" borderId="24" xfId="0" applyNumberFormat="1" applyFont="1" applyFill="1" applyBorder="1" applyAlignment="1">
      <alignment horizontal="center" vertical="center" wrapText="1"/>
    </xf>
    <xf numFmtId="49" fontId="20" fillId="0" borderId="33" xfId="0" applyNumberFormat="1" applyFont="1" applyFill="1" applyBorder="1" applyAlignment="1">
      <alignment horizontal="center" vertical="center"/>
    </xf>
    <xf numFmtId="180" fontId="20" fillId="0" borderId="33" xfId="0" applyNumberFormat="1" applyFont="1" applyFill="1" applyBorder="1" applyAlignment="1">
      <alignment horizontal="center" vertical="center"/>
    </xf>
    <xf numFmtId="49" fontId="20" fillId="0" borderId="34" xfId="0" applyNumberFormat="1" applyFont="1" applyFill="1" applyBorder="1" applyAlignment="1">
      <alignment horizontal="center" vertical="center"/>
    </xf>
    <xf numFmtId="188" fontId="20" fillId="0" borderId="21" xfId="0" applyNumberFormat="1" applyFont="1" applyFill="1" applyBorder="1" applyAlignment="1">
      <alignment vertical="center"/>
    </xf>
    <xf numFmtId="49" fontId="21" fillId="0" borderId="33" xfId="0" applyNumberFormat="1" applyFont="1" applyFill="1" applyBorder="1" applyAlignment="1">
      <alignment horizontal="center" vertical="center"/>
    </xf>
    <xf numFmtId="180" fontId="21" fillId="0" borderId="33" xfId="0" applyNumberFormat="1" applyFont="1" applyFill="1" applyBorder="1" applyAlignment="1">
      <alignment horizontal="center" vertical="center"/>
    </xf>
    <xf numFmtId="49" fontId="21" fillId="0" borderId="34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180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188" fontId="21" fillId="0" borderId="21" xfId="0" applyNumberFormat="1" applyFont="1" applyFill="1" applyBorder="1" applyAlignment="1">
      <alignment vertical="center"/>
    </xf>
    <xf numFmtId="188" fontId="21" fillId="24" borderId="21" xfId="0" applyNumberFormat="1" applyFont="1" applyFill="1" applyBorder="1" applyAlignment="1">
      <alignment vertical="center"/>
    </xf>
    <xf numFmtId="49" fontId="21" fillId="0" borderId="28" xfId="0" applyNumberFormat="1" applyFont="1" applyFill="1" applyBorder="1" applyAlignment="1">
      <alignment horizontal="center" vertical="center"/>
    </xf>
    <xf numFmtId="180" fontId="21" fillId="0" borderId="28" xfId="0" applyNumberFormat="1" applyFont="1" applyFill="1" applyBorder="1" applyAlignment="1">
      <alignment horizontal="center" vertical="center"/>
    </xf>
    <xf numFmtId="49" fontId="21" fillId="0" borderId="35" xfId="0" applyNumberFormat="1" applyFont="1" applyFill="1" applyBorder="1" applyAlignment="1">
      <alignment horizontal="center" vertical="center"/>
    </xf>
    <xf numFmtId="188" fontId="21" fillId="0" borderId="36" xfId="0" applyNumberFormat="1" applyFont="1" applyFill="1" applyBorder="1" applyAlignment="1">
      <alignment vertical="center"/>
    </xf>
    <xf numFmtId="188" fontId="20" fillId="0" borderId="37" xfId="0" applyNumberFormat="1" applyFont="1" applyFill="1" applyBorder="1" applyAlignment="1">
      <alignment vertical="center"/>
    </xf>
    <xf numFmtId="188" fontId="21" fillId="0" borderId="38" xfId="0" applyNumberFormat="1" applyFont="1" applyFill="1" applyBorder="1" applyAlignment="1">
      <alignment vertical="center"/>
    </xf>
    <xf numFmtId="49" fontId="20" fillId="0" borderId="39" xfId="0" applyNumberFormat="1" applyFont="1" applyFill="1" applyBorder="1" applyAlignment="1">
      <alignment horizontal="center" vertical="center" wrapText="1"/>
    </xf>
    <xf numFmtId="49" fontId="21" fillId="0" borderId="40" xfId="0" applyNumberFormat="1" applyFont="1" applyFill="1" applyBorder="1" applyAlignment="1">
      <alignment horizontal="center" vertical="center"/>
    </xf>
    <xf numFmtId="180" fontId="21" fillId="0" borderId="40" xfId="0" applyNumberFormat="1" applyFont="1" applyFill="1" applyBorder="1" applyAlignment="1">
      <alignment horizontal="center" vertical="center"/>
    </xf>
    <xf numFmtId="49" fontId="21" fillId="0" borderId="41" xfId="0" applyNumberFormat="1" applyFont="1" applyFill="1" applyBorder="1" applyAlignment="1">
      <alignment horizontal="center" vertical="center"/>
    </xf>
    <xf numFmtId="188" fontId="21" fillId="0" borderId="42" xfId="0" applyNumberFormat="1" applyFont="1" applyFill="1" applyBorder="1" applyAlignment="1">
      <alignment vertical="center"/>
    </xf>
    <xf numFmtId="188" fontId="21" fillId="24" borderId="38" xfId="0" applyNumberFormat="1" applyFont="1" applyFill="1" applyBorder="1" applyAlignment="1">
      <alignment vertical="center"/>
    </xf>
    <xf numFmtId="188" fontId="20" fillId="0" borderId="38" xfId="0" applyNumberFormat="1" applyFont="1" applyFill="1" applyBorder="1" applyAlignment="1">
      <alignment vertical="center"/>
    </xf>
    <xf numFmtId="188" fontId="21" fillId="0" borderId="43" xfId="0" applyNumberFormat="1" applyFont="1" applyFill="1" applyBorder="1" applyAlignment="1">
      <alignment vertical="center"/>
    </xf>
    <xf numFmtId="201" fontId="20" fillId="0" borderId="29" xfId="0" applyNumberFormat="1" applyFont="1" applyFill="1" applyBorder="1" applyAlignment="1">
      <alignment horizontal="left" vertical="center" wrapText="1"/>
    </xf>
    <xf numFmtId="49" fontId="20" fillId="0" borderId="44" xfId="0" applyNumberFormat="1" applyFont="1" applyFill="1" applyBorder="1" applyAlignment="1">
      <alignment horizontal="center" vertical="center" wrapText="1"/>
    </xf>
    <xf numFmtId="49" fontId="21" fillId="0" borderId="45" xfId="0" applyNumberFormat="1" applyFont="1" applyFill="1" applyBorder="1" applyAlignment="1">
      <alignment horizontal="center" vertical="center"/>
    </xf>
    <xf numFmtId="49" fontId="21" fillId="0" borderId="46" xfId="0" applyNumberFormat="1" applyFont="1" applyFill="1" applyBorder="1" applyAlignment="1">
      <alignment horizontal="center" vertical="center"/>
    </xf>
    <xf numFmtId="188" fontId="21" fillId="0" borderId="37" xfId="0" applyNumberFormat="1" applyFont="1" applyFill="1" applyBorder="1" applyAlignment="1">
      <alignment vertical="center"/>
    </xf>
    <xf numFmtId="0" fontId="20" fillId="0" borderId="25" xfId="0" applyFont="1" applyFill="1" applyBorder="1" applyAlignment="1" applyProtection="1">
      <alignment horizontal="left" vertical="center" wrapText="1"/>
      <protection/>
    </xf>
    <xf numFmtId="49" fontId="20" fillId="0" borderId="46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 applyProtection="1">
      <alignment horizontal="left" vertical="center" wrapText="1"/>
      <protection/>
    </xf>
    <xf numFmtId="0" fontId="21" fillId="0" borderId="21" xfId="0" applyFont="1" applyFill="1" applyBorder="1" applyAlignment="1" applyProtection="1">
      <alignment horizontal="left" vertical="center" wrapText="1"/>
      <protection/>
    </xf>
    <xf numFmtId="49" fontId="21" fillId="0" borderId="33" xfId="0" applyNumberFormat="1" applyFont="1" applyFill="1" applyBorder="1" applyAlignment="1" applyProtection="1">
      <alignment horizontal="center" vertical="center" wrapText="1"/>
      <protection/>
    </xf>
    <xf numFmtId="49" fontId="20" fillId="0" borderId="22" xfId="0" applyNumberFormat="1" applyFont="1" applyFill="1" applyBorder="1" applyAlignment="1">
      <alignment vertical="center" wrapText="1"/>
    </xf>
    <xf numFmtId="49" fontId="20" fillId="0" borderId="25" xfId="0" applyNumberFormat="1" applyFont="1" applyFill="1" applyBorder="1" applyAlignment="1">
      <alignment vertical="center" wrapText="1"/>
    </xf>
    <xf numFmtId="180" fontId="21" fillId="0" borderId="45" xfId="0" applyNumberFormat="1" applyFont="1" applyFill="1" applyBorder="1" applyAlignment="1">
      <alignment horizontal="center" vertical="center"/>
    </xf>
    <xf numFmtId="188" fontId="21" fillId="0" borderId="22" xfId="0" applyNumberFormat="1" applyFont="1" applyFill="1" applyBorder="1" applyAlignment="1">
      <alignment vertical="center"/>
    </xf>
    <xf numFmtId="49" fontId="20" fillId="0" borderId="45" xfId="0" applyNumberFormat="1" applyFont="1" applyFill="1" applyBorder="1" applyAlignment="1">
      <alignment horizontal="center" vertical="center"/>
    </xf>
    <xf numFmtId="180" fontId="20" fillId="0" borderId="45" xfId="0" applyNumberFormat="1" applyFont="1" applyFill="1" applyBorder="1" applyAlignment="1">
      <alignment horizontal="center" vertical="center"/>
    </xf>
    <xf numFmtId="188" fontId="20" fillId="0" borderId="21" xfId="0" applyNumberFormat="1" applyFont="1" applyFill="1" applyBorder="1" applyAlignment="1">
      <alignment horizontal="right" vertical="center"/>
    </xf>
    <xf numFmtId="49" fontId="21" fillId="0" borderId="47" xfId="0" applyNumberFormat="1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49" fontId="20" fillId="0" borderId="48" xfId="0" applyNumberFormat="1" applyFont="1" applyFill="1" applyBorder="1" applyAlignment="1">
      <alignment horizontal="center" vertical="center" wrapText="1"/>
    </xf>
    <xf numFmtId="49" fontId="21" fillId="0" borderId="49" xfId="0" applyNumberFormat="1" applyFont="1" applyFill="1" applyBorder="1" applyAlignment="1">
      <alignment horizontal="center" vertical="center"/>
    </xf>
    <xf numFmtId="49" fontId="21" fillId="0" borderId="50" xfId="0" applyNumberFormat="1" applyFont="1" applyFill="1" applyBorder="1" applyAlignment="1">
      <alignment horizontal="center" vertical="center"/>
    </xf>
    <xf numFmtId="49" fontId="20" fillId="0" borderId="36" xfId="0" applyNumberFormat="1" applyFont="1" applyFill="1" applyBorder="1" applyAlignment="1">
      <alignment vertical="center" wrapText="1"/>
    </xf>
    <xf numFmtId="188" fontId="20" fillId="0" borderId="22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left" vertical="center" wrapText="1"/>
    </xf>
    <xf numFmtId="180" fontId="21" fillId="0" borderId="49" xfId="0" applyNumberFormat="1" applyFont="1" applyFill="1" applyBorder="1" applyAlignment="1">
      <alignment horizontal="center" vertical="center"/>
    </xf>
    <xf numFmtId="49" fontId="21" fillId="0" borderId="31" xfId="0" applyNumberFormat="1" applyFont="1" applyFill="1" applyBorder="1" applyAlignment="1">
      <alignment horizontal="center" vertical="center"/>
    </xf>
    <xf numFmtId="180" fontId="21" fillId="0" borderId="31" xfId="0" applyNumberFormat="1" applyFont="1" applyFill="1" applyBorder="1" applyAlignment="1">
      <alignment horizontal="center" vertical="center"/>
    </xf>
    <xf numFmtId="49" fontId="21" fillId="0" borderId="32" xfId="0" applyNumberFormat="1" applyFont="1" applyFill="1" applyBorder="1" applyAlignment="1">
      <alignment horizontal="center" vertical="center"/>
    </xf>
    <xf numFmtId="188" fontId="21" fillId="0" borderId="29" xfId="0" applyNumberFormat="1" applyFont="1" applyFill="1" applyBorder="1" applyAlignment="1">
      <alignment vertical="center"/>
    </xf>
    <xf numFmtId="49" fontId="20" fillId="0" borderId="40" xfId="0" applyNumberFormat="1" applyFont="1" applyFill="1" applyBorder="1" applyAlignment="1">
      <alignment horizontal="center" vertical="center"/>
    </xf>
    <xf numFmtId="180" fontId="20" fillId="0" borderId="40" xfId="0" applyNumberFormat="1" applyFont="1" applyFill="1" applyBorder="1" applyAlignment="1">
      <alignment horizontal="center" vertical="center"/>
    </xf>
    <xf numFmtId="49" fontId="20" fillId="0" borderId="41" xfId="0" applyNumberFormat="1" applyFont="1" applyFill="1" applyBorder="1" applyAlignment="1">
      <alignment horizontal="center" vertical="center"/>
    </xf>
    <xf numFmtId="180" fontId="20" fillId="0" borderId="16" xfId="0" applyNumberFormat="1" applyFont="1" applyFill="1" applyBorder="1" applyAlignment="1">
      <alignment horizontal="center" vertical="center"/>
    </xf>
    <xf numFmtId="180" fontId="20" fillId="0" borderId="28" xfId="0" applyNumberFormat="1" applyFont="1" applyFill="1" applyBorder="1" applyAlignment="1">
      <alignment horizontal="center" vertical="center"/>
    </xf>
    <xf numFmtId="188" fontId="21" fillId="0" borderId="14" xfId="0" applyNumberFormat="1" applyFont="1" applyFill="1" applyBorder="1" applyAlignment="1">
      <alignment vertical="center"/>
    </xf>
    <xf numFmtId="0" fontId="20" fillId="0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  <protection locked="0"/>
    </xf>
    <xf numFmtId="188" fontId="21" fillId="0" borderId="25" xfId="0" applyNumberFormat="1" applyFont="1" applyFill="1" applyBorder="1" applyAlignment="1">
      <alignment vertical="center"/>
    </xf>
    <xf numFmtId="0" fontId="20" fillId="0" borderId="29" xfId="0" applyFont="1" applyFill="1" applyBorder="1" applyAlignment="1" applyProtection="1">
      <alignment horizontal="left" vertical="center" wrapText="1"/>
      <protection/>
    </xf>
    <xf numFmtId="0" fontId="21" fillId="0" borderId="25" xfId="0" applyFont="1" applyFill="1" applyBorder="1" applyAlignment="1" applyProtection="1">
      <alignment horizontal="left" vertical="center" wrapText="1"/>
      <protection/>
    </xf>
    <xf numFmtId="0" fontId="20" fillId="0" borderId="21" xfId="0" applyFont="1" applyFill="1" applyBorder="1" applyAlignment="1" applyProtection="1">
      <alignment horizontal="left" vertical="center" wrapText="1"/>
      <protection locked="0"/>
    </xf>
    <xf numFmtId="49" fontId="21" fillId="0" borderId="24" xfId="0" applyNumberFormat="1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vertical="center" wrapText="1"/>
    </xf>
    <xf numFmtId="188" fontId="21" fillId="0" borderId="23" xfId="0" applyNumberFormat="1" applyFont="1" applyFill="1" applyBorder="1" applyAlignment="1">
      <alignment vertical="center"/>
    </xf>
    <xf numFmtId="49" fontId="21" fillId="0" borderId="40" xfId="0" applyNumberFormat="1" applyFont="1" applyFill="1" applyBorder="1" applyAlignment="1">
      <alignment horizontal="right" vertical="center"/>
    </xf>
    <xf numFmtId="49" fontId="20" fillId="24" borderId="14" xfId="0" applyNumberFormat="1" applyFont="1" applyFill="1" applyBorder="1" applyAlignment="1">
      <alignment vertical="center" wrapText="1"/>
    </xf>
    <xf numFmtId="0" fontId="21" fillId="0" borderId="14" xfId="0" applyFont="1" applyFill="1" applyBorder="1" applyAlignment="1" applyProtection="1">
      <alignment horizontal="left" vertical="center" wrapText="1"/>
      <protection/>
    </xf>
    <xf numFmtId="0" fontId="20" fillId="0" borderId="14" xfId="0" applyFont="1" applyFill="1" applyBorder="1" applyAlignment="1" applyProtection="1">
      <alignment horizontal="left" vertical="center" wrapText="1"/>
      <protection/>
    </xf>
    <xf numFmtId="0" fontId="20" fillId="0" borderId="29" xfId="0" applyFont="1" applyFill="1" applyBorder="1" applyAlignment="1" applyProtection="1">
      <alignment horizontal="left" wrapText="1"/>
      <protection/>
    </xf>
    <xf numFmtId="49" fontId="21" fillId="0" borderId="16" xfId="0" applyNumberFormat="1" applyFont="1" applyFill="1" applyBorder="1" applyAlignment="1">
      <alignment horizontal="right" vertical="center"/>
    </xf>
    <xf numFmtId="49" fontId="21" fillId="0" borderId="33" xfId="0" applyNumberFormat="1" applyFont="1" applyFill="1" applyBorder="1" applyAlignment="1">
      <alignment horizontal="right" vertical="center"/>
    </xf>
    <xf numFmtId="0" fontId="21" fillId="24" borderId="14" xfId="0" applyFont="1" applyFill="1" applyBorder="1" applyAlignment="1" applyProtection="1">
      <alignment horizontal="left" vertical="center" wrapText="1"/>
      <protection/>
    </xf>
    <xf numFmtId="188" fontId="21" fillId="25" borderId="21" xfId="0" applyNumberFormat="1" applyFont="1" applyFill="1" applyBorder="1" applyAlignment="1">
      <alignment vertical="center"/>
    </xf>
    <xf numFmtId="0" fontId="20" fillId="0" borderId="22" xfId="0" applyFont="1" applyFill="1" applyBorder="1" applyAlignment="1">
      <alignment vertical="center" wrapText="1"/>
    </xf>
    <xf numFmtId="49" fontId="21" fillId="25" borderId="34" xfId="0" applyNumberFormat="1" applyFont="1" applyFill="1" applyBorder="1" applyAlignment="1">
      <alignment horizontal="center" vertical="center"/>
    </xf>
    <xf numFmtId="49" fontId="21" fillId="0" borderId="51" xfId="0" applyNumberFormat="1" applyFont="1" applyFill="1" applyBorder="1" applyAlignment="1">
      <alignment horizontal="center" vertical="center"/>
    </xf>
    <xf numFmtId="49" fontId="21" fillId="0" borderId="52" xfId="0" applyNumberFormat="1" applyFont="1" applyFill="1" applyBorder="1" applyAlignment="1">
      <alignment horizontal="center" vertical="center"/>
    </xf>
    <xf numFmtId="49" fontId="21" fillId="0" borderId="53" xfId="0" applyNumberFormat="1" applyFont="1" applyFill="1" applyBorder="1" applyAlignment="1">
      <alignment horizontal="center" vertical="center"/>
    </xf>
    <xf numFmtId="188" fontId="21" fillId="0" borderId="33" xfId="0" applyNumberFormat="1" applyFont="1" applyFill="1" applyBorder="1" applyAlignment="1">
      <alignment vertical="center"/>
    </xf>
    <xf numFmtId="0" fontId="20" fillId="0" borderId="26" xfId="0" applyFont="1" applyFill="1" applyBorder="1" applyAlignment="1" applyProtection="1">
      <alignment horizontal="left" vertical="center" wrapText="1"/>
      <protection/>
    </xf>
    <xf numFmtId="49" fontId="20" fillId="0" borderId="21" xfId="0" applyNumberFormat="1" applyFont="1" applyFill="1" applyBorder="1" applyAlignment="1">
      <alignment horizontal="left" vertical="center" wrapText="1"/>
    </xf>
    <xf numFmtId="49" fontId="21" fillId="0" borderId="44" xfId="0" applyNumberFormat="1" applyFont="1" applyFill="1" applyBorder="1" applyAlignment="1">
      <alignment horizontal="center" vertical="center" wrapText="1"/>
    </xf>
    <xf numFmtId="49" fontId="20" fillId="0" borderId="31" xfId="0" applyNumberFormat="1" applyFont="1" applyFill="1" applyBorder="1" applyAlignment="1" applyProtection="1">
      <alignment horizontal="center" vertical="center" wrapText="1"/>
      <protection/>
    </xf>
    <xf numFmtId="49" fontId="20" fillId="0" borderId="22" xfId="0" applyNumberFormat="1" applyFont="1" applyFill="1" applyBorder="1" applyAlignment="1">
      <alignment horizontal="left" vertical="center" wrapText="1"/>
    </xf>
    <xf numFmtId="49" fontId="20" fillId="25" borderId="24" xfId="0" applyNumberFormat="1" applyFont="1" applyFill="1" applyBorder="1" applyAlignment="1">
      <alignment horizontal="center" vertical="center" wrapText="1"/>
    </xf>
    <xf numFmtId="49" fontId="21" fillId="25" borderId="33" xfId="0" applyNumberFormat="1" applyFont="1" applyFill="1" applyBorder="1" applyAlignment="1">
      <alignment horizontal="center" vertical="center"/>
    </xf>
    <xf numFmtId="49" fontId="20" fillId="25" borderId="21" xfId="0" applyNumberFormat="1" applyFont="1" applyFill="1" applyBorder="1" applyAlignment="1">
      <alignment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3" fontId="21" fillId="0" borderId="33" xfId="0" applyNumberFormat="1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188" fontId="21" fillId="0" borderId="0" xfId="0" applyNumberFormat="1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190" fontId="23" fillId="0" borderId="10" xfId="0" applyNumberFormat="1" applyFont="1" applyFill="1" applyBorder="1" applyAlignment="1">
      <alignment horizontal="center" vertical="center"/>
    </xf>
    <xf numFmtId="4" fontId="23" fillId="0" borderId="0" xfId="60" applyNumberFormat="1" applyFont="1" applyFill="1" applyBorder="1" applyAlignment="1">
      <alignment horizontal="right" wrapText="1"/>
    </xf>
    <xf numFmtId="49" fontId="21" fillId="0" borderId="21" xfId="0" applyNumberFormat="1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180" fontId="23" fillId="0" borderId="12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188" fontId="23" fillId="0" borderId="10" xfId="0" applyNumberFormat="1" applyFont="1" applyFill="1" applyBorder="1" applyAlignment="1">
      <alignment vertical="center"/>
    </xf>
    <xf numFmtId="49" fontId="25" fillId="0" borderId="18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/>
    </xf>
    <xf numFmtId="180" fontId="25" fillId="0" borderId="19" xfId="0" applyNumberFormat="1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vertical="center" wrapText="1"/>
    </xf>
    <xf numFmtId="49" fontId="21" fillId="0" borderId="25" xfId="0" applyNumberFormat="1" applyFont="1" applyFill="1" applyBorder="1" applyAlignment="1">
      <alignment vertical="center" wrapText="1"/>
    </xf>
    <xf numFmtId="49" fontId="21" fillId="0" borderId="36" xfId="0" applyNumberFormat="1" applyFont="1" applyFill="1" applyBorder="1" applyAlignment="1">
      <alignment vertical="center" wrapText="1"/>
    </xf>
    <xf numFmtId="49" fontId="21" fillId="0" borderId="22" xfId="0" applyNumberFormat="1" applyFont="1" applyFill="1" applyBorder="1" applyAlignment="1">
      <alignment vertical="center" wrapText="1"/>
    </xf>
    <xf numFmtId="190" fontId="23" fillId="0" borderId="54" xfId="0" applyNumberFormat="1" applyFont="1" applyFill="1" applyBorder="1" applyAlignment="1">
      <alignment horizontal="center" vertical="center"/>
    </xf>
    <xf numFmtId="49" fontId="20" fillId="0" borderId="54" xfId="0" applyNumberFormat="1" applyFont="1" applyFill="1" applyBorder="1" applyAlignment="1">
      <alignment horizontal="center" vertical="center"/>
    </xf>
    <xf numFmtId="188" fontId="23" fillId="0" borderId="54" xfId="0" applyNumberFormat="1" applyFont="1" applyFill="1" applyBorder="1" applyAlignment="1">
      <alignment vertical="center"/>
    </xf>
    <xf numFmtId="188" fontId="25" fillId="0" borderId="54" xfId="0" applyNumberFormat="1" applyFont="1" applyFill="1" applyBorder="1" applyAlignment="1">
      <alignment vertical="center"/>
    </xf>
    <xf numFmtId="188" fontId="20" fillId="0" borderId="55" xfId="0" applyNumberFormat="1" applyFont="1" applyFill="1" applyBorder="1" applyAlignment="1">
      <alignment vertical="center"/>
    </xf>
    <xf numFmtId="188" fontId="20" fillId="0" borderId="54" xfId="0" applyNumberFormat="1" applyFont="1" applyFill="1" applyBorder="1" applyAlignment="1">
      <alignment vertical="center"/>
    </xf>
    <xf numFmtId="188" fontId="20" fillId="0" borderId="38" xfId="0" applyNumberFormat="1" applyFont="1" applyFill="1" applyBorder="1" applyAlignment="1">
      <alignment horizontal="right" vertical="center"/>
    </xf>
    <xf numFmtId="188" fontId="20" fillId="0" borderId="43" xfId="0" applyNumberFormat="1" applyFont="1" applyFill="1" applyBorder="1" applyAlignment="1">
      <alignment vertical="center"/>
    </xf>
    <xf numFmtId="188" fontId="21" fillId="0" borderId="55" xfId="0" applyNumberFormat="1" applyFont="1" applyFill="1" applyBorder="1" applyAlignment="1">
      <alignment vertical="center"/>
    </xf>
    <xf numFmtId="188" fontId="21" fillId="0" borderId="47" xfId="0" applyNumberFormat="1" applyFont="1" applyFill="1" applyBorder="1" applyAlignment="1">
      <alignment vertical="center"/>
    </xf>
    <xf numFmtId="188" fontId="21" fillId="0" borderId="56" xfId="0" applyNumberFormat="1" applyFont="1" applyFill="1" applyBorder="1" applyAlignment="1">
      <alignment vertical="center"/>
    </xf>
    <xf numFmtId="188" fontId="20" fillId="0" borderId="57" xfId="0" applyNumberFormat="1" applyFont="1" applyFill="1" applyBorder="1" applyAlignment="1">
      <alignment vertical="center"/>
    </xf>
    <xf numFmtId="188" fontId="21" fillId="0" borderId="58" xfId="0" applyNumberFormat="1" applyFont="1" applyFill="1" applyBorder="1" applyAlignment="1">
      <alignment vertical="center"/>
    </xf>
    <xf numFmtId="188" fontId="21" fillId="25" borderId="38" xfId="0" applyNumberFormat="1" applyFont="1" applyFill="1" applyBorder="1" applyAlignment="1">
      <alignment vertical="center"/>
    </xf>
    <xf numFmtId="49" fontId="21" fillId="0" borderId="48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49" fontId="25" fillId="0" borderId="11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 applyProtection="1">
      <alignment horizontal="left" vertical="center" wrapText="1"/>
      <protection/>
    </xf>
    <xf numFmtId="49" fontId="21" fillId="0" borderId="39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vertical="center"/>
    </xf>
    <xf numFmtId="0" fontId="20" fillId="0" borderId="21" xfId="0" applyNumberFormat="1" applyFont="1" applyFill="1" applyBorder="1" applyAlignment="1">
      <alignment horizontal="left" vertical="center" wrapText="1"/>
    </xf>
    <xf numFmtId="0" fontId="20" fillId="0" borderId="29" xfId="0" applyFont="1" applyFill="1" applyBorder="1" applyAlignment="1" applyProtection="1">
      <alignment vertical="center" wrapText="1"/>
      <protection/>
    </xf>
    <xf numFmtId="188" fontId="21" fillId="0" borderId="59" xfId="0" applyNumberFormat="1" applyFont="1" applyFill="1" applyBorder="1" applyAlignment="1">
      <alignment vertical="center"/>
    </xf>
    <xf numFmtId="188" fontId="21" fillId="0" borderId="40" xfId="0" applyNumberFormat="1" applyFont="1" applyFill="1" applyBorder="1" applyAlignment="1">
      <alignment vertical="center"/>
    </xf>
    <xf numFmtId="49" fontId="21" fillId="0" borderId="15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left" vertical="center"/>
    </xf>
    <xf numFmtId="49" fontId="24" fillId="0" borderId="60" xfId="0" applyNumberFormat="1" applyFont="1" applyFill="1" applyBorder="1" applyAlignment="1">
      <alignment horizontal="center" vertical="center"/>
    </xf>
    <xf numFmtId="188" fontId="21" fillId="25" borderId="38" xfId="0" applyNumberFormat="1" applyFont="1" applyFill="1" applyBorder="1" applyAlignment="1">
      <alignment horizontal="right" vertical="center"/>
    </xf>
    <xf numFmtId="188" fontId="21" fillId="25" borderId="21" xfId="0" applyNumberFormat="1" applyFont="1" applyFill="1" applyBorder="1" applyAlignment="1">
      <alignment horizontal="right" vertical="center"/>
    </xf>
    <xf numFmtId="188" fontId="21" fillId="25" borderId="42" xfId="0" applyNumberFormat="1" applyFont="1" applyFill="1" applyBorder="1" applyAlignment="1">
      <alignment vertical="center"/>
    </xf>
    <xf numFmtId="188" fontId="21" fillId="25" borderId="36" xfId="0" applyNumberFormat="1" applyFont="1" applyFill="1" applyBorder="1" applyAlignment="1">
      <alignment vertical="center"/>
    </xf>
    <xf numFmtId="188" fontId="20" fillId="25" borderId="37" xfId="0" applyNumberFormat="1" applyFont="1" applyFill="1" applyBorder="1" applyAlignment="1">
      <alignment vertical="center"/>
    </xf>
    <xf numFmtId="188" fontId="20" fillId="25" borderId="25" xfId="0" applyNumberFormat="1" applyFont="1" applyFill="1" applyBorder="1" applyAlignment="1">
      <alignment vertical="center"/>
    </xf>
    <xf numFmtId="188" fontId="20" fillId="25" borderId="38" xfId="0" applyNumberFormat="1" applyFont="1" applyFill="1" applyBorder="1" applyAlignment="1">
      <alignment vertical="center"/>
    </xf>
    <xf numFmtId="188" fontId="20" fillId="25" borderId="21" xfId="0" applyNumberFormat="1" applyFont="1" applyFill="1" applyBorder="1" applyAlignment="1">
      <alignment vertical="center"/>
    </xf>
    <xf numFmtId="188" fontId="20" fillId="25" borderId="54" xfId="0" applyNumberFormat="1" applyFont="1" applyFill="1" applyBorder="1" applyAlignment="1">
      <alignment vertical="center"/>
    </xf>
    <xf numFmtId="188" fontId="21" fillId="25" borderId="37" xfId="0" applyNumberFormat="1" applyFont="1" applyFill="1" applyBorder="1" applyAlignment="1">
      <alignment vertical="center"/>
    </xf>
    <xf numFmtId="188" fontId="21" fillId="25" borderId="25" xfId="0" applyNumberFormat="1" applyFont="1" applyFill="1" applyBorder="1" applyAlignment="1">
      <alignment vertical="center"/>
    </xf>
    <xf numFmtId="188" fontId="20" fillId="25" borderId="55" xfId="0" applyNumberFormat="1" applyFont="1" applyFill="1" applyBorder="1" applyAlignment="1">
      <alignment vertical="center"/>
    </xf>
    <xf numFmtId="188" fontId="20" fillId="25" borderId="29" xfId="0" applyNumberFormat="1" applyFont="1" applyFill="1" applyBorder="1" applyAlignment="1">
      <alignment vertical="center"/>
    </xf>
    <xf numFmtId="49" fontId="32" fillId="0" borderId="24" xfId="0" applyNumberFormat="1" applyFont="1" applyFill="1" applyBorder="1" applyAlignment="1">
      <alignment horizontal="center" vertical="center" wrapText="1"/>
    </xf>
    <xf numFmtId="49" fontId="32" fillId="0" borderId="33" xfId="0" applyNumberFormat="1" applyFont="1" applyFill="1" applyBorder="1" applyAlignment="1">
      <alignment horizontal="center" vertical="center"/>
    </xf>
    <xf numFmtId="49" fontId="32" fillId="0" borderId="34" xfId="0" applyNumberFormat="1" applyFont="1" applyFill="1" applyBorder="1" applyAlignment="1">
      <alignment horizontal="center" vertical="center"/>
    </xf>
    <xf numFmtId="49" fontId="32" fillId="0" borderId="61" xfId="0" applyNumberFormat="1" applyFont="1" applyFill="1" applyBorder="1" applyAlignment="1">
      <alignment vertical="center" wrapText="1"/>
    </xf>
    <xf numFmtId="49" fontId="32" fillId="0" borderId="39" xfId="0" applyNumberFormat="1" applyFont="1" applyFill="1" applyBorder="1" applyAlignment="1">
      <alignment horizontal="center" vertical="center" wrapText="1"/>
    </xf>
    <xf numFmtId="49" fontId="32" fillId="0" borderId="40" xfId="0" applyNumberFormat="1" applyFont="1" applyFill="1" applyBorder="1" applyAlignment="1">
      <alignment horizontal="center" vertical="center"/>
    </xf>
    <xf numFmtId="49" fontId="32" fillId="0" borderId="41" xfId="0" applyNumberFormat="1" applyFont="1" applyFill="1" applyBorder="1" applyAlignment="1">
      <alignment horizontal="center" vertical="center"/>
    </xf>
    <xf numFmtId="49" fontId="32" fillId="0" borderId="15" xfId="0" applyNumberFormat="1" applyFont="1" applyFill="1" applyBorder="1" applyAlignment="1">
      <alignment horizontal="center" vertical="center" wrapText="1"/>
    </xf>
    <xf numFmtId="188" fontId="20" fillId="24" borderId="38" xfId="0" applyNumberFormat="1" applyFont="1" applyFill="1" applyBorder="1" applyAlignment="1">
      <alignment vertical="center"/>
    </xf>
    <xf numFmtId="49" fontId="20" fillId="25" borderId="20" xfId="0" applyNumberFormat="1" applyFont="1" applyFill="1" applyBorder="1" applyAlignment="1">
      <alignment horizontal="center" vertical="center"/>
    </xf>
    <xf numFmtId="49" fontId="20" fillId="0" borderId="62" xfId="0" applyNumberFormat="1" applyFont="1" applyFill="1" applyBorder="1" applyAlignment="1">
      <alignment horizontal="center" vertical="center"/>
    </xf>
    <xf numFmtId="49" fontId="20" fillId="0" borderId="63" xfId="0" applyNumberFormat="1" applyFont="1" applyFill="1" applyBorder="1" applyAlignment="1">
      <alignment horizontal="center" vertical="center"/>
    </xf>
    <xf numFmtId="49" fontId="20" fillId="24" borderId="24" xfId="0" applyNumberFormat="1" applyFont="1" applyFill="1" applyBorder="1" applyAlignment="1">
      <alignment horizontal="center" vertical="center" wrapText="1"/>
    </xf>
    <xf numFmtId="49" fontId="21" fillId="24" borderId="33" xfId="0" applyNumberFormat="1" applyFont="1" applyFill="1" applyBorder="1" applyAlignment="1">
      <alignment horizontal="center" vertical="center"/>
    </xf>
    <xf numFmtId="49" fontId="21" fillId="24" borderId="34" xfId="0" applyNumberFormat="1" applyFont="1" applyFill="1" applyBorder="1" applyAlignment="1">
      <alignment horizontal="center" vertical="center"/>
    </xf>
    <xf numFmtId="49" fontId="23" fillId="0" borderId="26" xfId="0" applyNumberFormat="1" applyFont="1" applyFill="1" applyBorder="1" applyAlignment="1">
      <alignment vertical="center" wrapText="1"/>
    </xf>
    <xf numFmtId="188" fontId="20" fillId="0" borderId="47" xfId="0" applyNumberFormat="1" applyFont="1" applyFill="1" applyBorder="1" applyAlignment="1">
      <alignment vertical="center"/>
    </xf>
    <xf numFmtId="188" fontId="21" fillId="0" borderId="38" xfId="0" applyNumberFormat="1" applyFont="1" applyFill="1" applyBorder="1" applyAlignment="1">
      <alignment horizontal="right" vertical="center"/>
    </xf>
    <xf numFmtId="188" fontId="21" fillId="0" borderId="21" xfId="0" applyNumberFormat="1" applyFont="1" applyFill="1" applyBorder="1" applyAlignment="1">
      <alignment horizontal="right" vertical="center"/>
    </xf>
    <xf numFmtId="0" fontId="20" fillId="0" borderId="25" xfId="0" applyNumberFormat="1" applyFont="1" applyFill="1" applyBorder="1" applyAlignment="1">
      <alignment vertical="center" wrapText="1"/>
    </xf>
    <xf numFmtId="188" fontId="23" fillId="0" borderId="0" xfId="0" applyNumberFormat="1" applyFont="1" applyFill="1" applyBorder="1" applyAlignment="1">
      <alignment horizontal="right" vertical="center"/>
    </xf>
    <xf numFmtId="49" fontId="20" fillId="0" borderId="52" xfId="0" applyNumberFormat="1" applyFont="1" applyFill="1" applyBorder="1" applyAlignment="1">
      <alignment horizontal="center" vertical="center"/>
    </xf>
    <xf numFmtId="49" fontId="20" fillId="0" borderId="64" xfId="0" applyNumberFormat="1" applyFont="1" applyFill="1" applyBorder="1" applyAlignment="1">
      <alignment horizontal="center" vertical="center"/>
    </xf>
    <xf numFmtId="188" fontId="20" fillId="0" borderId="33" xfId="0" applyNumberFormat="1" applyFont="1" applyFill="1" applyBorder="1" applyAlignment="1">
      <alignment vertical="center"/>
    </xf>
    <xf numFmtId="188" fontId="23" fillId="0" borderId="56" xfId="0" applyNumberFormat="1" applyFont="1" applyFill="1" applyBorder="1" applyAlignment="1">
      <alignment vertical="center"/>
    </xf>
    <xf numFmtId="49" fontId="21" fillId="0" borderId="64" xfId="0" applyNumberFormat="1" applyFont="1" applyFill="1" applyBorder="1" applyAlignment="1">
      <alignment horizontal="center" vertical="center"/>
    </xf>
    <xf numFmtId="49" fontId="20" fillId="0" borderId="51" xfId="0" applyNumberFormat="1" applyFont="1" applyFill="1" applyBorder="1" applyAlignment="1">
      <alignment horizontal="center" vertical="center"/>
    </xf>
    <xf numFmtId="188" fontId="20" fillId="0" borderId="65" xfId="0" applyNumberFormat="1" applyFont="1" applyFill="1" applyBorder="1" applyAlignment="1">
      <alignment vertical="center"/>
    </xf>
    <xf numFmtId="188" fontId="21" fillId="0" borderId="65" xfId="0" applyNumberFormat="1" applyFont="1" applyFill="1" applyBorder="1" applyAlignment="1">
      <alignment vertical="center"/>
    </xf>
    <xf numFmtId="49" fontId="21" fillId="0" borderId="63" xfId="0" applyNumberFormat="1" applyFont="1" applyFill="1" applyBorder="1" applyAlignment="1">
      <alignment horizontal="center" vertical="center"/>
    </xf>
    <xf numFmtId="188" fontId="20" fillId="0" borderId="58" xfId="0" applyNumberFormat="1" applyFont="1" applyFill="1" applyBorder="1" applyAlignment="1">
      <alignment vertical="center"/>
    </xf>
    <xf numFmtId="188" fontId="21" fillId="0" borderId="57" xfId="0" applyNumberFormat="1" applyFont="1" applyFill="1" applyBorder="1" applyAlignment="1">
      <alignment vertical="center"/>
    </xf>
    <xf numFmtId="188" fontId="21" fillId="0" borderId="66" xfId="0" applyNumberFormat="1" applyFont="1" applyFill="1" applyBorder="1" applyAlignment="1">
      <alignment vertical="center"/>
    </xf>
    <xf numFmtId="188" fontId="20" fillId="0" borderId="56" xfId="0" applyNumberFormat="1" applyFont="1" applyFill="1" applyBorder="1" applyAlignment="1">
      <alignment vertical="center"/>
    </xf>
    <xf numFmtId="188" fontId="21" fillId="0" borderId="67" xfId="0" applyNumberFormat="1" applyFont="1" applyFill="1" applyBorder="1" applyAlignment="1">
      <alignment vertical="center"/>
    </xf>
    <xf numFmtId="49" fontId="20" fillId="0" borderId="31" xfId="0" applyNumberFormat="1" applyFont="1" applyFill="1" applyBorder="1" applyAlignment="1">
      <alignment horizontal="center" vertical="center" wrapText="1"/>
    </xf>
    <xf numFmtId="188" fontId="21" fillId="0" borderId="49" xfId="0" applyNumberFormat="1" applyFont="1" applyFill="1" applyBorder="1" applyAlignment="1">
      <alignment vertical="center"/>
    </xf>
    <xf numFmtId="188" fontId="20" fillId="0" borderId="31" xfId="0" applyNumberFormat="1" applyFont="1" applyFill="1" applyBorder="1" applyAlignment="1">
      <alignment vertical="center"/>
    </xf>
    <xf numFmtId="188" fontId="21" fillId="0" borderId="68" xfId="0" applyNumberFormat="1" applyFont="1" applyFill="1" applyBorder="1" applyAlignment="1">
      <alignment vertical="center"/>
    </xf>
    <xf numFmtId="188" fontId="21" fillId="0" borderId="60" xfId="0" applyNumberFormat="1" applyFont="1" applyFill="1" applyBorder="1" applyAlignment="1">
      <alignment vertical="center"/>
    </xf>
    <xf numFmtId="188" fontId="20" fillId="0" borderId="0" xfId="0" applyNumberFormat="1" applyFont="1" applyFill="1" applyBorder="1" applyAlignment="1">
      <alignment vertical="center"/>
    </xf>
    <xf numFmtId="190" fontId="23" fillId="0" borderId="69" xfId="0" applyNumberFormat="1" applyFont="1" applyFill="1" applyBorder="1" applyAlignment="1">
      <alignment horizontal="center" vertical="center"/>
    </xf>
    <xf numFmtId="49" fontId="20" fillId="0" borderId="69" xfId="0" applyNumberFormat="1" applyFont="1" applyFill="1" applyBorder="1" applyAlignment="1">
      <alignment horizontal="center" vertical="center"/>
    </xf>
    <xf numFmtId="188" fontId="23" fillId="0" borderId="69" xfId="0" applyNumberFormat="1" applyFont="1" applyFill="1" applyBorder="1" applyAlignment="1">
      <alignment vertical="center"/>
    </xf>
    <xf numFmtId="188" fontId="25" fillId="0" borderId="69" xfId="0" applyNumberFormat="1" applyFont="1" applyFill="1" applyBorder="1" applyAlignment="1">
      <alignment vertical="center"/>
    </xf>
    <xf numFmtId="188" fontId="20" fillId="0" borderId="70" xfId="0" applyNumberFormat="1" applyFont="1" applyFill="1" applyBorder="1" applyAlignment="1">
      <alignment vertical="center"/>
    </xf>
    <xf numFmtId="188" fontId="20" fillId="0" borderId="67" xfId="0" applyNumberFormat="1" applyFont="1" applyFill="1" applyBorder="1" applyAlignment="1">
      <alignment vertical="center"/>
    </xf>
    <xf numFmtId="188" fontId="21" fillId="0" borderId="67" xfId="0" applyNumberFormat="1" applyFont="1" applyFill="1" applyBorder="1" applyAlignment="1">
      <alignment horizontal="right" vertical="center"/>
    </xf>
    <xf numFmtId="188" fontId="20" fillId="0" borderId="69" xfId="0" applyNumberFormat="1" applyFont="1" applyFill="1" applyBorder="1" applyAlignment="1">
      <alignment vertical="center"/>
    </xf>
    <xf numFmtId="188" fontId="20" fillId="0" borderId="60" xfId="0" applyNumberFormat="1" applyFont="1" applyFill="1" applyBorder="1" applyAlignment="1">
      <alignment vertical="center"/>
    </xf>
    <xf numFmtId="188" fontId="21" fillId="0" borderId="71" xfId="0" applyNumberFormat="1" applyFont="1" applyFill="1" applyBorder="1" applyAlignment="1">
      <alignment vertical="center"/>
    </xf>
    <xf numFmtId="188" fontId="21" fillId="0" borderId="70" xfId="0" applyNumberFormat="1" applyFont="1" applyFill="1" applyBorder="1" applyAlignment="1">
      <alignment vertical="center"/>
    </xf>
    <xf numFmtId="188" fontId="20" fillId="0" borderId="67" xfId="0" applyNumberFormat="1" applyFont="1" applyFill="1" applyBorder="1" applyAlignment="1">
      <alignment horizontal="right" vertical="center"/>
    </xf>
    <xf numFmtId="188" fontId="21" fillId="0" borderId="52" xfId="0" applyNumberFormat="1" applyFont="1" applyFill="1" applyBorder="1" applyAlignment="1">
      <alignment vertical="center"/>
    </xf>
    <xf numFmtId="188" fontId="23" fillId="0" borderId="66" xfId="0" applyNumberFormat="1" applyFont="1" applyFill="1" applyBorder="1" applyAlignment="1">
      <alignment vertical="center"/>
    </xf>
    <xf numFmtId="188" fontId="20" fillId="25" borderId="60" xfId="0" applyNumberFormat="1" applyFont="1" applyFill="1" applyBorder="1" applyAlignment="1">
      <alignment vertical="center"/>
    </xf>
    <xf numFmtId="188" fontId="21" fillId="25" borderId="60" xfId="0" applyNumberFormat="1" applyFont="1" applyFill="1" applyBorder="1" applyAlignment="1">
      <alignment vertical="center"/>
    </xf>
    <xf numFmtId="188" fontId="20" fillId="25" borderId="67" xfId="0" applyNumberFormat="1" applyFont="1" applyFill="1" applyBorder="1" applyAlignment="1">
      <alignment vertical="center"/>
    </xf>
    <xf numFmtId="188" fontId="21" fillId="25" borderId="67" xfId="0" applyNumberFormat="1" applyFont="1" applyFill="1" applyBorder="1" applyAlignment="1">
      <alignment vertical="center"/>
    </xf>
    <xf numFmtId="188" fontId="21" fillId="25" borderId="71" xfId="0" applyNumberFormat="1" applyFont="1" applyFill="1" applyBorder="1" applyAlignment="1">
      <alignment vertical="center"/>
    </xf>
    <xf numFmtId="188" fontId="20" fillId="0" borderId="52" xfId="0" applyNumberFormat="1" applyFont="1" applyFill="1" applyBorder="1" applyAlignment="1">
      <alignment vertical="center"/>
    </xf>
    <xf numFmtId="188" fontId="20" fillId="0" borderId="72" xfId="0" applyNumberFormat="1" applyFont="1" applyFill="1" applyBorder="1" applyAlignment="1">
      <alignment vertical="center"/>
    </xf>
    <xf numFmtId="188" fontId="20" fillId="0" borderId="62" xfId="0" applyNumberFormat="1" applyFont="1" applyFill="1" applyBorder="1" applyAlignment="1">
      <alignment vertical="center"/>
    </xf>
    <xf numFmtId="188" fontId="20" fillId="0" borderId="66" xfId="0" applyNumberFormat="1" applyFont="1" applyFill="1" applyBorder="1" applyAlignment="1">
      <alignment vertical="center"/>
    </xf>
    <xf numFmtId="188" fontId="20" fillId="25" borderId="70" xfId="0" applyNumberFormat="1" applyFont="1" applyFill="1" applyBorder="1" applyAlignment="1">
      <alignment vertical="center"/>
    </xf>
    <xf numFmtId="188" fontId="21" fillId="24" borderId="67" xfId="0" applyNumberFormat="1" applyFont="1" applyFill="1" applyBorder="1" applyAlignment="1">
      <alignment vertical="center"/>
    </xf>
    <xf numFmtId="188" fontId="20" fillId="24" borderId="67" xfId="0" applyNumberFormat="1" applyFont="1" applyFill="1" applyBorder="1" applyAlignment="1">
      <alignment vertical="center"/>
    </xf>
    <xf numFmtId="188" fontId="21" fillId="25" borderId="67" xfId="0" applyNumberFormat="1" applyFont="1" applyFill="1" applyBorder="1" applyAlignment="1">
      <alignment horizontal="right" vertical="center"/>
    </xf>
    <xf numFmtId="188" fontId="20" fillId="25" borderId="69" xfId="0" applyNumberFormat="1" applyFont="1" applyFill="1" applyBorder="1" applyAlignment="1">
      <alignment vertical="center"/>
    </xf>
    <xf numFmtId="188" fontId="21" fillId="0" borderId="72" xfId="0" applyNumberFormat="1" applyFont="1" applyFill="1" applyBorder="1" applyAlignment="1">
      <alignment vertical="center"/>
    </xf>
    <xf numFmtId="190" fontId="23" fillId="0" borderId="73" xfId="0" applyNumberFormat="1" applyFont="1" applyFill="1" applyBorder="1" applyAlignment="1">
      <alignment horizontal="center" vertical="center"/>
    </xf>
    <xf numFmtId="49" fontId="20" fillId="0" borderId="74" xfId="0" applyNumberFormat="1" applyFont="1" applyFill="1" applyBorder="1" applyAlignment="1">
      <alignment horizontal="center" vertical="center"/>
    </xf>
    <xf numFmtId="188" fontId="20" fillId="0" borderId="61" xfId="0" applyNumberFormat="1" applyFont="1" applyFill="1" applyBorder="1" applyAlignment="1">
      <alignment vertical="center"/>
    </xf>
    <xf numFmtId="188" fontId="21" fillId="0" borderId="61" xfId="0" applyNumberFormat="1" applyFont="1" applyFill="1" applyBorder="1" applyAlignment="1">
      <alignment horizontal="right" vertical="center"/>
    </xf>
    <xf numFmtId="188" fontId="21" fillId="0" borderId="61" xfId="0" applyNumberFormat="1" applyFont="1" applyFill="1" applyBorder="1" applyAlignment="1">
      <alignment vertical="center"/>
    </xf>
    <xf numFmtId="188" fontId="25" fillId="0" borderId="61" xfId="0" applyNumberFormat="1" applyFont="1" applyFill="1" applyBorder="1" applyAlignment="1">
      <alignment vertical="center"/>
    </xf>
    <xf numFmtId="188" fontId="20" fillId="0" borderId="61" xfId="0" applyNumberFormat="1" applyFont="1" applyFill="1" applyBorder="1" applyAlignment="1">
      <alignment horizontal="right" vertical="center"/>
    </xf>
    <xf numFmtId="188" fontId="20" fillId="25" borderId="61" xfId="0" applyNumberFormat="1" applyFont="1" applyFill="1" applyBorder="1" applyAlignment="1">
      <alignment vertical="center"/>
    </xf>
    <xf numFmtId="188" fontId="21" fillId="25" borderId="61" xfId="0" applyNumberFormat="1" applyFont="1" applyFill="1" applyBorder="1" applyAlignment="1">
      <alignment vertical="center"/>
    </xf>
    <xf numFmtId="188" fontId="21" fillId="24" borderId="61" xfId="0" applyNumberFormat="1" applyFont="1" applyFill="1" applyBorder="1" applyAlignment="1">
      <alignment vertical="center"/>
    </xf>
    <xf numFmtId="188" fontId="21" fillId="25" borderId="61" xfId="0" applyNumberFormat="1" applyFont="1" applyFill="1" applyBorder="1" applyAlignment="1">
      <alignment horizontal="right" vertical="center"/>
    </xf>
    <xf numFmtId="190" fontId="23" fillId="0" borderId="57" xfId="0" applyNumberFormat="1" applyFont="1" applyFill="1" applyBorder="1" applyAlignment="1">
      <alignment horizontal="center" vertical="center"/>
    </xf>
    <xf numFmtId="188" fontId="25" fillId="0" borderId="38" xfId="0" applyNumberFormat="1" applyFont="1" applyFill="1" applyBorder="1" applyAlignment="1">
      <alignment vertical="center"/>
    </xf>
    <xf numFmtId="190" fontId="23" fillId="0" borderId="26" xfId="0" applyNumberFormat="1" applyFont="1" applyFill="1" applyBorder="1" applyAlignment="1">
      <alignment horizontal="center" vertical="center"/>
    </xf>
    <xf numFmtId="188" fontId="25" fillId="0" borderId="21" xfId="0" applyNumberFormat="1" applyFont="1" applyFill="1" applyBorder="1" applyAlignment="1">
      <alignment vertical="center"/>
    </xf>
    <xf numFmtId="188" fontId="21" fillId="0" borderId="75" xfId="0" applyNumberFormat="1" applyFont="1" applyFill="1" applyBorder="1" applyAlignment="1">
      <alignment vertical="center"/>
    </xf>
    <xf numFmtId="188" fontId="25" fillId="0" borderId="74" xfId="0" applyNumberFormat="1" applyFont="1" applyFill="1" applyBorder="1" applyAlignment="1">
      <alignment vertical="center"/>
    </xf>
    <xf numFmtId="188" fontId="20" fillId="0" borderId="76" xfId="0" applyNumberFormat="1" applyFont="1" applyFill="1" applyBorder="1" applyAlignment="1">
      <alignment vertical="center"/>
    </xf>
    <xf numFmtId="188" fontId="21" fillId="0" borderId="77" xfId="0" applyNumberFormat="1" applyFont="1" applyFill="1" applyBorder="1" applyAlignment="1">
      <alignment vertical="center"/>
    </xf>
    <xf numFmtId="188" fontId="21" fillId="0" borderId="75" xfId="0" applyNumberFormat="1" applyFont="1" applyFill="1" applyBorder="1" applyAlignment="1">
      <alignment horizontal="right" vertical="center"/>
    </xf>
    <xf numFmtId="188" fontId="21" fillId="0" borderId="78" xfId="0" applyNumberFormat="1" applyFont="1" applyFill="1" applyBorder="1" applyAlignment="1">
      <alignment vertical="center"/>
    </xf>
    <xf numFmtId="188" fontId="21" fillId="0" borderId="29" xfId="0" applyNumberFormat="1" applyFont="1" applyFill="1" applyBorder="1" applyAlignment="1">
      <alignment horizontal="right" vertical="center"/>
    </xf>
    <xf numFmtId="188" fontId="20" fillId="25" borderId="65" xfId="0" applyNumberFormat="1" applyFont="1" applyFill="1" applyBorder="1" applyAlignment="1">
      <alignment vertical="center"/>
    </xf>
    <xf numFmtId="188" fontId="20" fillId="25" borderId="75" xfId="0" applyNumberFormat="1" applyFont="1" applyFill="1" applyBorder="1" applyAlignment="1">
      <alignment vertical="center"/>
    </xf>
    <xf numFmtId="188" fontId="20" fillId="25" borderId="22" xfId="0" applyNumberFormat="1" applyFont="1" applyFill="1" applyBorder="1" applyAlignment="1">
      <alignment vertical="center"/>
    </xf>
    <xf numFmtId="188" fontId="20" fillId="25" borderId="43" xfId="0" applyNumberFormat="1" applyFont="1" applyFill="1" applyBorder="1" applyAlignment="1">
      <alignment vertical="center"/>
    </xf>
    <xf numFmtId="188" fontId="20" fillId="0" borderId="32" xfId="0" applyNumberFormat="1" applyFont="1" applyFill="1" applyBorder="1" applyAlignment="1">
      <alignment vertical="center"/>
    </xf>
    <xf numFmtId="188" fontId="20" fillId="0" borderId="34" xfId="0" applyNumberFormat="1" applyFont="1" applyFill="1" applyBorder="1" applyAlignment="1">
      <alignment vertical="center"/>
    </xf>
    <xf numFmtId="188" fontId="21" fillId="0" borderId="34" xfId="0" applyNumberFormat="1" applyFont="1" applyFill="1" applyBorder="1" applyAlignment="1">
      <alignment vertical="center"/>
    </xf>
    <xf numFmtId="49" fontId="21" fillId="24" borderId="52" xfId="0" applyNumberFormat="1" applyFont="1" applyFill="1" applyBorder="1" applyAlignment="1">
      <alignment horizontal="center" vertical="center"/>
    </xf>
    <xf numFmtId="0" fontId="20" fillId="24" borderId="29" xfId="0" applyFont="1" applyFill="1" applyBorder="1" applyAlignment="1">
      <alignment vertical="center" wrapText="1"/>
    </xf>
    <xf numFmtId="49" fontId="20" fillId="24" borderId="30" xfId="0" applyNumberFormat="1" applyFont="1" applyFill="1" applyBorder="1" applyAlignment="1">
      <alignment horizontal="center" vertical="center"/>
    </xf>
    <xf numFmtId="49" fontId="20" fillId="24" borderId="31" xfId="0" applyNumberFormat="1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vertical="center" wrapText="1"/>
    </xf>
    <xf numFmtId="49" fontId="20" fillId="24" borderId="44" xfId="0" applyNumberFormat="1" applyFont="1" applyFill="1" applyBorder="1" applyAlignment="1">
      <alignment horizontal="center" vertical="center"/>
    </xf>
    <xf numFmtId="49" fontId="20" fillId="24" borderId="45" xfId="0" applyNumberFormat="1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left" vertical="center" wrapText="1"/>
    </xf>
    <xf numFmtId="49" fontId="21" fillId="24" borderId="24" xfId="0" applyNumberFormat="1" applyFont="1" applyFill="1" applyBorder="1" applyAlignment="1">
      <alignment horizontal="center" vertical="center"/>
    </xf>
    <xf numFmtId="49" fontId="20" fillId="24" borderId="21" xfId="0" applyNumberFormat="1" applyFont="1" applyFill="1" applyBorder="1" applyAlignment="1">
      <alignment vertical="center" wrapText="1"/>
    </xf>
    <xf numFmtId="49" fontId="20" fillId="24" borderId="33" xfId="0" applyNumberFormat="1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vertical="center" wrapText="1"/>
    </xf>
    <xf numFmtId="0" fontId="20" fillId="24" borderId="21" xfId="0" applyFont="1" applyFill="1" applyBorder="1" applyAlignment="1">
      <alignment horizontal="left" vertical="center" wrapText="1"/>
    </xf>
    <xf numFmtId="49" fontId="21" fillId="24" borderId="24" xfId="0" applyNumberFormat="1" applyFont="1" applyFill="1" applyBorder="1" applyAlignment="1">
      <alignment horizontal="center" vertical="center" wrapText="1"/>
    </xf>
    <xf numFmtId="188" fontId="25" fillId="0" borderId="57" xfId="0" applyNumberFormat="1" applyFont="1" applyFill="1" applyBorder="1" applyAlignment="1">
      <alignment vertical="center"/>
    </xf>
    <xf numFmtId="188" fontId="25" fillId="0" borderId="72" xfId="0" applyNumberFormat="1" applyFont="1" applyFill="1" applyBorder="1" applyAlignment="1">
      <alignment vertical="center"/>
    </xf>
    <xf numFmtId="188" fontId="25" fillId="0" borderId="75" xfId="0" applyNumberFormat="1" applyFont="1" applyFill="1" applyBorder="1" applyAlignment="1">
      <alignment vertical="center"/>
    </xf>
    <xf numFmtId="188" fontId="25" fillId="0" borderId="22" xfId="0" applyNumberFormat="1" applyFont="1" applyFill="1" applyBorder="1" applyAlignment="1">
      <alignment vertical="center"/>
    </xf>
    <xf numFmtId="188" fontId="25" fillId="0" borderId="43" xfId="0" applyNumberFormat="1" applyFont="1" applyFill="1" applyBorder="1" applyAlignment="1">
      <alignment vertical="center"/>
    </xf>
    <xf numFmtId="188" fontId="20" fillId="0" borderId="14" xfId="0" applyNumberFormat="1" applyFont="1" applyFill="1" applyBorder="1" applyAlignment="1">
      <alignment vertical="center"/>
    </xf>
    <xf numFmtId="188" fontId="20" fillId="0" borderId="78" xfId="0" applyNumberFormat="1" applyFont="1" applyFill="1" applyBorder="1" applyAlignment="1">
      <alignment vertical="center"/>
    </xf>
    <xf numFmtId="49" fontId="25" fillId="0" borderId="33" xfId="0" applyNumberFormat="1" applyFont="1" applyFill="1" applyBorder="1" applyAlignment="1">
      <alignment horizontal="center" vertical="center" wrapText="1"/>
    </xf>
    <xf numFmtId="49" fontId="25" fillId="0" borderId="33" xfId="0" applyNumberFormat="1" applyFont="1" applyFill="1" applyBorder="1" applyAlignment="1">
      <alignment horizontal="center" vertical="center"/>
    </xf>
    <xf numFmtId="49" fontId="26" fillId="0" borderId="33" xfId="0" applyNumberFormat="1" applyFont="1" applyFill="1" applyBorder="1" applyAlignment="1">
      <alignment horizontal="center" vertical="center"/>
    </xf>
    <xf numFmtId="188" fontId="26" fillId="0" borderId="33" xfId="0" applyNumberFormat="1" applyFont="1" applyFill="1" applyBorder="1" applyAlignment="1">
      <alignment vertical="center"/>
    </xf>
    <xf numFmtId="49" fontId="21" fillId="0" borderId="27" xfId="0" applyNumberFormat="1" applyFont="1" applyFill="1" applyBorder="1" applyAlignment="1">
      <alignment horizontal="center" vertical="center" wrapText="1"/>
    </xf>
    <xf numFmtId="49" fontId="21" fillId="24" borderId="17" xfId="0" applyNumberFormat="1" applyFont="1" applyFill="1" applyBorder="1" applyAlignment="1">
      <alignment horizontal="center" vertical="center"/>
    </xf>
    <xf numFmtId="188" fontId="21" fillId="24" borderId="37" xfId="0" applyNumberFormat="1" applyFont="1" applyFill="1" applyBorder="1" applyAlignment="1">
      <alignment vertical="center"/>
    </xf>
    <xf numFmtId="188" fontId="21" fillId="24" borderId="60" xfId="0" applyNumberFormat="1" applyFont="1" applyFill="1" applyBorder="1" applyAlignment="1">
      <alignment vertical="center"/>
    </xf>
    <xf numFmtId="188" fontId="24" fillId="0" borderId="0" xfId="0" applyNumberFormat="1" applyFont="1" applyFill="1" applyBorder="1" applyAlignment="1">
      <alignment vertical="center"/>
    </xf>
    <xf numFmtId="188" fontId="21" fillId="0" borderId="76" xfId="0" applyNumberFormat="1" applyFont="1" applyFill="1" applyBorder="1" applyAlignment="1">
      <alignment vertical="center"/>
    </xf>
    <xf numFmtId="199" fontId="22" fillId="0" borderId="0" xfId="0" applyNumberFormat="1" applyFont="1" applyFill="1" applyAlignment="1">
      <alignment vertical="center"/>
    </xf>
    <xf numFmtId="188" fontId="20" fillId="25" borderId="47" xfId="0" applyNumberFormat="1" applyFont="1" applyFill="1" applyBorder="1" applyAlignment="1">
      <alignment vertical="center"/>
    </xf>
    <xf numFmtId="188" fontId="20" fillId="25" borderId="14" xfId="0" applyNumberFormat="1" applyFont="1" applyFill="1" applyBorder="1" applyAlignment="1">
      <alignment vertical="center"/>
    </xf>
    <xf numFmtId="188" fontId="20" fillId="25" borderId="0" xfId="0" applyNumberFormat="1" applyFont="1" applyFill="1" applyBorder="1" applyAlignment="1">
      <alignment vertical="center"/>
    </xf>
    <xf numFmtId="188" fontId="21" fillId="25" borderId="47" xfId="0" applyNumberFormat="1" applyFont="1" applyFill="1" applyBorder="1" applyAlignment="1">
      <alignment vertical="center"/>
    </xf>
    <xf numFmtId="188" fontId="21" fillId="25" borderId="14" xfId="0" applyNumberFormat="1" applyFont="1" applyFill="1" applyBorder="1" applyAlignment="1">
      <alignment vertical="center"/>
    </xf>
    <xf numFmtId="188" fontId="21" fillId="25" borderId="0" xfId="0" applyNumberFormat="1" applyFont="1" applyFill="1" applyBorder="1" applyAlignment="1">
      <alignment vertical="center"/>
    </xf>
    <xf numFmtId="188" fontId="21" fillId="25" borderId="38" xfId="0" applyNumberFormat="1" applyFont="1" applyFill="1" applyBorder="1" applyAlignment="1">
      <alignment vertical="center"/>
    </xf>
    <xf numFmtId="188" fontId="21" fillId="25" borderId="52" xfId="0" applyNumberFormat="1" applyFont="1" applyFill="1" applyBorder="1" applyAlignment="1">
      <alignment vertical="center"/>
    </xf>
    <xf numFmtId="188" fontId="21" fillId="17" borderId="38" xfId="0" applyNumberFormat="1" applyFont="1" applyFill="1" applyBorder="1" applyAlignment="1">
      <alignment vertical="center"/>
    </xf>
    <xf numFmtId="190" fontId="23" fillId="0" borderId="57" xfId="0" applyNumberFormat="1" applyFont="1" applyFill="1" applyBorder="1" applyAlignment="1">
      <alignment horizontal="center" vertical="center" wrapText="1"/>
    </xf>
    <xf numFmtId="188" fontId="21" fillId="0" borderId="64" xfId="0" applyNumberFormat="1" applyFont="1" applyFill="1" applyBorder="1" applyAlignment="1">
      <alignment vertical="center"/>
    </xf>
    <xf numFmtId="49" fontId="20" fillId="0" borderId="78" xfId="0" applyNumberFormat="1" applyFont="1" applyFill="1" applyBorder="1" applyAlignment="1">
      <alignment vertical="center" wrapText="1"/>
    </xf>
    <xf numFmtId="49" fontId="20" fillId="0" borderId="61" xfId="0" applyNumberFormat="1" applyFont="1" applyFill="1" applyBorder="1" applyAlignment="1">
      <alignment vertical="center" wrapText="1"/>
    </xf>
    <xf numFmtId="0" fontId="20" fillId="0" borderId="61" xfId="0" applyFont="1" applyFill="1" applyBorder="1" applyAlignment="1">
      <alignment horizontal="left" vertical="center" wrapText="1"/>
    </xf>
    <xf numFmtId="49" fontId="20" fillId="0" borderId="75" xfId="0" applyNumberFormat="1" applyFont="1" applyFill="1" applyBorder="1" applyAlignment="1">
      <alignment vertical="center" wrapText="1"/>
    </xf>
    <xf numFmtId="49" fontId="21" fillId="0" borderId="79" xfId="0" applyNumberFormat="1" applyFont="1" applyFill="1" applyBorder="1" applyAlignment="1">
      <alignment vertical="center" wrapText="1"/>
    </xf>
    <xf numFmtId="49" fontId="20" fillId="0" borderId="79" xfId="0" applyNumberFormat="1" applyFont="1" applyFill="1" applyBorder="1" applyAlignment="1">
      <alignment vertical="center" wrapText="1"/>
    </xf>
    <xf numFmtId="0" fontId="21" fillId="0" borderId="75" xfId="0" applyFont="1" applyFill="1" applyBorder="1" applyAlignment="1" applyProtection="1">
      <alignment horizontal="left" vertical="center" wrapText="1"/>
      <protection/>
    </xf>
    <xf numFmtId="49" fontId="25" fillId="0" borderId="21" xfId="0" applyNumberFormat="1" applyFont="1" applyFill="1" applyBorder="1" applyAlignment="1">
      <alignment vertical="center" wrapText="1"/>
    </xf>
    <xf numFmtId="49" fontId="25" fillId="0" borderId="24" xfId="0" applyNumberFormat="1" applyFont="1" applyFill="1" applyBorder="1" applyAlignment="1">
      <alignment horizontal="center" vertical="center" wrapText="1"/>
    </xf>
    <xf numFmtId="49" fontId="25" fillId="0" borderId="25" xfId="0" applyNumberFormat="1" applyFont="1" applyFill="1" applyBorder="1" applyAlignment="1">
      <alignment vertical="center" wrapText="1"/>
    </xf>
    <xf numFmtId="49" fontId="25" fillId="0" borderId="44" xfId="0" applyNumberFormat="1" applyFont="1" applyFill="1" applyBorder="1" applyAlignment="1">
      <alignment horizontal="center" vertical="center" wrapText="1"/>
    </xf>
    <xf numFmtId="49" fontId="25" fillId="0" borderId="45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left" vertical="center" wrapText="1"/>
    </xf>
    <xf numFmtId="188" fontId="21" fillId="25" borderId="37" xfId="0" applyNumberFormat="1" applyFont="1" applyFill="1" applyBorder="1" applyAlignment="1">
      <alignment vertical="center"/>
    </xf>
    <xf numFmtId="0" fontId="21" fillId="0" borderId="36" xfId="0" applyFont="1" applyFill="1" applyBorder="1" applyAlignment="1" applyProtection="1">
      <alignment horizontal="left" vertical="center" wrapText="1"/>
      <protection/>
    </xf>
    <xf numFmtId="188" fontId="20" fillId="0" borderId="63" xfId="0" applyNumberFormat="1" applyFont="1" applyFill="1" applyBorder="1" applyAlignment="1">
      <alignment vertical="center"/>
    </xf>
    <xf numFmtId="49" fontId="21" fillId="0" borderId="40" xfId="0" applyNumberFormat="1" applyFont="1" applyFill="1" applyBorder="1" applyAlignment="1">
      <alignment horizontal="center" vertical="center" wrapText="1"/>
    </xf>
    <xf numFmtId="188" fontId="20" fillId="0" borderId="45" xfId="0" applyNumberFormat="1" applyFont="1" applyFill="1" applyBorder="1" applyAlignment="1">
      <alignment vertical="center"/>
    </xf>
    <xf numFmtId="188" fontId="21" fillId="0" borderId="45" xfId="0" applyNumberFormat="1" applyFont="1" applyFill="1" applyBorder="1" applyAlignment="1">
      <alignment vertical="center"/>
    </xf>
    <xf numFmtId="188" fontId="21" fillId="0" borderId="63" xfId="0" applyNumberFormat="1" applyFont="1" applyFill="1" applyBorder="1" applyAlignment="1">
      <alignment vertical="center"/>
    </xf>
    <xf numFmtId="49" fontId="21" fillId="0" borderId="68" xfId="0" applyNumberFormat="1" applyFont="1" applyFill="1" applyBorder="1" applyAlignment="1">
      <alignment horizontal="center" vertical="center"/>
    </xf>
    <xf numFmtId="0" fontId="21" fillId="0" borderId="23" xfId="0" applyFont="1" applyFill="1" applyBorder="1" applyAlignment="1" applyProtection="1">
      <alignment horizontal="left" vertical="center" wrapText="1"/>
      <protection/>
    </xf>
    <xf numFmtId="188" fontId="20" fillId="0" borderId="40" xfId="0" applyNumberFormat="1" applyFont="1" applyFill="1" applyBorder="1" applyAlignment="1">
      <alignment vertical="center"/>
    </xf>
    <xf numFmtId="188" fontId="20" fillId="0" borderId="64" xfId="0" applyNumberFormat="1" applyFont="1" applyFill="1" applyBorder="1" applyAlignment="1">
      <alignment vertical="center"/>
    </xf>
    <xf numFmtId="188" fontId="21" fillId="0" borderId="79" xfId="0" applyNumberFormat="1" applyFont="1" applyFill="1" applyBorder="1" applyAlignment="1">
      <alignment vertical="center"/>
    </xf>
    <xf numFmtId="0" fontId="21" fillId="24" borderId="21" xfId="0" applyFont="1" applyFill="1" applyBorder="1" applyAlignment="1" applyProtection="1">
      <alignment horizontal="left" vertical="center" wrapText="1"/>
      <protection/>
    </xf>
    <xf numFmtId="0" fontId="20" fillId="0" borderId="25" xfId="0" applyFont="1" applyFill="1" applyBorder="1" applyAlignment="1" applyProtection="1">
      <alignment vertical="center" wrapText="1"/>
      <protection/>
    </xf>
    <xf numFmtId="49" fontId="21" fillId="24" borderId="48" xfId="0" applyNumberFormat="1" applyFont="1" applyFill="1" applyBorder="1" applyAlignment="1">
      <alignment horizontal="center" vertical="center" wrapText="1"/>
    </xf>
    <xf numFmtId="49" fontId="21" fillId="24" borderId="49" xfId="0" applyNumberFormat="1" applyFont="1" applyFill="1" applyBorder="1" applyAlignment="1">
      <alignment horizontal="center" vertical="center"/>
    </xf>
    <xf numFmtId="188" fontId="21" fillId="0" borderId="80" xfId="0" applyNumberFormat="1" applyFont="1" applyFill="1" applyBorder="1" applyAlignment="1">
      <alignment vertical="center"/>
    </xf>
    <xf numFmtId="188" fontId="21" fillId="0" borderId="81" xfId="0" applyNumberFormat="1" applyFont="1" applyFill="1" applyBorder="1" applyAlignment="1">
      <alignment vertical="center"/>
    </xf>
    <xf numFmtId="188" fontId="20" fillId="24" borderId="55" xfId="0" applyNumberFormat="1" applyFont="1" applyFill="1" applyBorder="1" applyAlignment="1">
      <alignment vertical="center"/>
    </xf>
    <xf numFmtId="188" fontId="20" fillId="24" borderId="70" xfId="0" applyNumberFormat="1" applyFont="1" applyFill="1" applyBorder="1" applyAlignment="1">
      <alignment vertical="center"/>
    </xf>
    <xf numFmtId="188" fontId="21" fillId="25" borderId="43" xfId="0" applyNumberFormat="1" applyFont="1" applyFill="1" applyBorder="1" applyAlignment="1">
      <alignment vertical="center"/>
    </xf>
    <xf numFmtId="188" fontId="21" fillId="25" borderId="22" xfId="0" applyNumberFormat="1" applyFont="1" applyFill="1" applyBorder="1" applyAlignment="1">
      <alignment vertical="center"/>
    </xf>
    <xf numFmtId="188" fontId="21" fillId="25" borderId="65" xfId="0" applyNumberFormat="1" applyFont="1" applyFill="1" applyBorder="1" applyAlignment="1">
      <alignment vertical="center"/>
    </xf>
    <xf numFmtId="188" fontId="21" fillId="25" borderId="75" xfId="0" applyNumberFormat="1" applyFont="1" applyFill="1" applyBorder="1" applyAlignment="1">
      <alignment vertical="center"/>
    </xf>
    <xf numFmtId="188" fontId="20" fillId="25" borderId="74" xfId="0" applyNumberFormat="1" applyFont="1" applyFill="1" applyBorder="1" applyAlignment="1">
      <alignment vertical="center"/>
    </xf>
    <xf numFmtId="188" fontId="20" fillId="25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 applyProtection="1">
      <alignment horizontal="left" vertical="center" wrapText="1"/>
      <protection/>
    </xf>
    <xf numFmtId="0" fontId="20" fillId="0" borderId="12" xfId="0" applyFont="1" applyFill="1" applyBorder="1" applyAlignment="1">
      <alignment horizontal="center" vertical="center" wrapText="1"/>
    </xf>
    <xf numFmtId="49" fontId="32" fillId="0" borderId="16" xfId="0" applyNumberFormat="1" applyFont="1" applyFill="1" applyBorder="1" applyAlignment="1">
      <alignment horizontal="center" vertical="center"/>
    </xf>
    <xf numFmtId="49" fontId="32" fillId="0" borderId="17" xfId="0" applyNumberFormat="1" applyFont="1" applyFill="1" applyBorder="1" applyAlignment="1">
      <alignment horizontal="center" vertical="center"/>
    </xf>
    <xf numFmtId="49" fontId="32" fillId="0" borderId="79" xfId="0" applyNumberFormat="1" applyFont="1" applyFill="1" applyBorder="1" applyAlignment="1">
      <alignment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24" xfId="0" applyNumberFormat="1" applyFont="1" applyFill="1" applyBorder="1" applyAlignment="1">
      <alignment horizontal="center" vertical="center" wrapText="1"/>
    </xf>
    <xf numFmtId="49" fontId="22" fillId="0" borderId="33" xfId="0" applyNumberFormat="1" applyFont="1" applyFill="1" applyBorder="1" applyAlignment="1">
      <alignment horizontal="center" vertical="center"/>
    </xf>
    <xf numFmtId="49" fontId="22" fillId="0" borderId="34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0" fillId="0" borderId="45" xfId="0" applyNumberFormat="1" applyFont="1" applyFill="1" applyBorder="1" applyAlignment="1">
      <alignment horizontal="center" vertical="center" wrapText="1"/>
    </xf>
    <xf numFmtId="49" fontId="21" fillId="0" borderId="37" xfId="0" applyNumberFormat="1" applyFont="1" applyFill="1" applyBorder="1" applyAlignment="1">
      <alignment horizontal="center" vertical="center"/>
    </xf>
    <xf numFmtId="188" fontId="20" fillId="0" borderId="46" xfId="0" applyNumberFormat="1" applyFont="1" applyFill="1" applyBorder="1" applyAlignment="1">
      <alignment vertical="center"/>
    </xf>
    <xf numFmtId="188" fontId="22" fillId="0" borderId="0" xfId="0" applyNumberFormat="1" applyFont="1" applyFill="1" applyBorder="1" applyAlignment="1">
      <alignment vertical="center"/>
    </xf>
    <xf numFmtId="49" fontId="21" fillId="0" borderId="61" xfId="0" applyNumberFormat="1" applyFont="1" applyFill="1" applyBorder="1" applyAlignment="1">
      <alignment vertical="center" wrapText="1"/>
    </xf>
    <xf numFmtId="0" fontId="21" fillId="0" borderId="61" xfId="0" applyFont="1" applyFill="1" applyBorder="1" applyAlignment="1">
      <alignment horizontal="left" vertical="center" wrapText="1"/>
    </xf>
    <xf numFmtId="0" fontId="20" fillId="0" borderId="61" xfId="0" applyFont="1" applyFill="1" applyBorder="1" applyAlignment="1">
      <alignment vertical="center" wrapText="1"/>
    </xf>
    <xf numFmtId="49" fontId="21" fillId="0" borderId="44" xfId="0" applyNumberFormat="1" applyFont="1" applyFill="1" applyBorder="1" applyAlignment="1">
      <alignment vertical="center" wrapText="1"/>
    </xf>
    <xf numFmtId="49" fontId="21" fillId="0" borderId="24" xfId="0" applyNumberFormat="1" applyFont="1" applyFill="1" applyBorder="1" applyAlignment="1">
      <alignment vertical="center" wrapText="1"/>
    </xf>
    <xf numFmtId="49" fontId="21" fillId="0" borderId="48" xfId="0" applyNumberFormat="1" applyFont="1" applyFill="1" applyBorder="1" applyAlignment="1">
      <alignment vertical="center" wrapText="1"/>
    </xf>
    <xf numFmtId="49" fontId="25" fillId="0" borderId="24" xfId="0" applyNumberFormat="1" applyFont="1" applyFill="1" applyBorder="1" applyAlignment="1">
      <alignment vertical="center" wrapText="1"/>
    </xf>
    <xf numFmtId="4" fontId="21" fillId="0" borderId="34" xfId="0" applyNumberFormat="1" applyFont="1" applyFill="1" applyBorder="1" applyAlignment="1">
      <alignment vertical="center"/>
    </xf>
    <xf numFmtId="0" fontId="20" fillId="0" borderId="36" xfId="0" applyFont="1" applyFill="1" applyBorder="1" applyAlignment="1" applyProtection="1">
      <alignment horizontal="left" vertical="center" wrapText="1"/>
      <protection/>
    </xf>
    <xf numFmtId="49" fontId="21" fillId="0" borderId="49" xfId="0" applyNumberFormat="1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vertical="center" wrapText="1"/>
    </xf>
    <xf numFmtId="4" fontId="21" fillId="0" borderId="33" xfId="0" applyNumberFormat="1" applyFont="1" applyFill="1" applyBorder="1" applyAlignment="1">
      <alignment vertical="center"/>
    </xf>
    <xf numFmtId="4" fontId="20" fillId="0" borderId="33" xfId="0" applyNumberFormat="1" applyFont="1" applyFill="1" applyBorder="1" applyAlignment="1">
      <alignment vertical="center"/>
    </xf>
    <xf numFmtId="188" fontId="25" fillId="0" borderId="67" xfId="0" applyNumberFormat="1" applyFont="1" applyFill="1" applyBorder="1" applyAlignment="1">
      <alignment vertical="center"/>
    </xf>
    <xf numFmtId="188" fontId="21" fillId="25" borderId="67" xfId="0" applyNumberFormat="1" applyFont="1" applyFill="1" applyBorder="1" applyAlignment="1">
      <alignment vertical="center"/>
    </xf>
    <xf numFmtId="188" fontId="21" fillId="25" borderId="60" xfId="0" applyNumberFormat="1" applyFont="1" applyFill="1" applyBorder="1" applyAlignment="1">
      <alignment vertical="center"/>
    </xf>
    <xf numFmtId="188" fontId="25" fillId="0" borderId="65" xfId="0" applyNumberFormat="1" applyFont="1" applyFill="1" applyBorder="1" applyAlignment="1">
      <alignment vertical="center"/>
    </xf>
    <xf numFmtId="49" fontId="20" fillId="0" borderId="57" xfId="0" applyNumberFormat="1" applyFont="1" applyFill="1" applyBorder="1" applyAlignment="1">
      <alignment horizontal="center" vertical="center"/>
    </xf>
    <xf numFmtId="4" fontId="25" fillId="0" borderId="33" xfId="0" applyNumberFormat="1" applyFont="1" applyFill="1" applyBorder="1" applyAlignment="1">
      <alignment vertical="center"/>
    </xf>
    <xf numFmtId="4" fontId="21" fillId="0" borderId="33" xfId="0" applyNumberFormat="1" applyFont="1" applyFill="1" applyBorder="1" applyAlignment="1">
      <alignment horizontal="right" vertical="center"/>
    </xf>
    <xf numFmtId="4" fontId="22" fillId="0" borderId="33" xfId="0" applyNumberFormat="1" applyFont="1" applyFill="1" applyBorder="1" applyAlignment="1">
      <alignment vertical="center"/>
    </xf>
    <xf numFmtId="4" fontId="20" fillId="0" borderId="33" xfId="0" applyNumberFormat="1" applyFont="1" applyFill="1" applyBorder="1" applyAlignment="1">
      <alignment horizontal="right" vertical="center"/>
    </xf>
    <xf numFmtId="4" fontId="23" fillId="0" borderId="34" xfId="0" applyNumberFormat="1" applyFont="1" applyFill="1" applyBorder="1" applyAlignment="1">
      <alignment vertical="center"/>
    </xf>
    <xf numFmtId="4" fontId="21" fillId="0" borderId="40" xfId="0" applyNumberFormat="1" applyFont="1" applyFill="1" applyBorder="1" applyAlignment="1">
      <alignment vertical="center"/>
    </xf>
    <xf numFmtId="4" fontId="23" fillId="0" borderId="41" xfId="0" applyNumberFormat="1" applyFont="1" applyFill="1" applyBorder="1" applyAlignment="1">
      <alignment vertical="center"/>
    </xf>
    <xf numFmtId="4" fontId="23" fillId="0" borderId="11" xfId="0" applyNumberFormat="1" applyFont="1" applyFill="1" applyBorder="1" applyAlignment="1">
      <alignment vertical="center"/>
    </xf>
    <xf numFmtId="4" fontId="23" fillId="0" borderId="12" xfId="0" applyNumberFormat="1" applyFont="1" applyFill="1" applyBorder="1" applyAlignment="1">
      <alignment vertical="center"/>
    </xf>
    <xf numFmtId="4" fontId="23" fillId="0" borderId="13" xfId="0" applyNumberFormat="1" applyFont="1" applyFill="1" applyBorder="1" applyAlignment="1">
      <alignment vertical="center"/>
    </xf>
    <xf numFmtId="4" fontId="20" fillId="0" borderId="34" xfId="0" applyNumberFormat="1" applyFont="1" applyFill="1" applyBorder="1" applyAlignment="1">
      <alignment vertical="center"/>
    </xf>
    <xf numFmtId="4" fontId="25" fillId="0" borderId="46" xfId="0" applyNumberFormat="1" applyFont="1" applyFill="1" applyBorder="1" applyAlignment="1">
      <alignment vertical="center"/>
    </xf>
    <xf numFmtId="4" fontId="25" fillId="0" borderId="16" xfId="0" applyNumberFormat="1" applyFont="1" applyFill="1" applyBorder="1" applyAlignment="1">
      <alignment vertical="center"/>
    </xf>
    <xf numFmtId="4" fontId="25" fillId="0" borderId="17" xfId="0" applyNumberFormat="1" applyFont="1" applyFill="1" applyBorder="1" applyAlignment="1">
      <alignment vertical="center"/>
    </xf>
    <xf numFmtId="4" fontId="21" fillId="0" borderId="45" xfId="0" applyNumberFormat="1" applyFont="1" applyFill="1" applyBorder="1" applyAlignment="1">
      <alignment horizontal="right" vertical="center"/>
    </xf>
    <xf numFmtId="4" fontId="23" fillId="0" borderId="46" xfId="0" applyNumberFormat="1" applyFont="1" applyFill="1" applyBorder="1" applyAlignment="1">
      <alignment vertical="center"/>
    </xf>
    <xf numFmtId="4" fontId="20" fillId="0" borderId="30" xfId="0" applyNumberFormat="1" applyFont="1" applyFill="1" applyBorder="1" applyAlignment="1">
      <alignment vertical="center"/>
    </xf>
    <xf numFmtId="4" fontId="20" fillId="0" borderId="31" xfId="0" applyNumberFormat="1" applyFont="1" applyFill="1" applyBorder="1" applyAlignment="1">
      <alignment vertical="center"/>
    </xf>
    <xf numFmtId="4" fontId="20" fillId="0" borderId="32" xfId="0" applyNumberFormat="1" applyFont="1" applyFill="1" applyBorder="1" applyAlignment="1">
      <alignment vertical="center"/>
    </xf>
    <xf numFmtId="4" fontId="20" fillId="0" borderId="24" xfId="0" applyNumberFormat="1" applyFont="1" applyFill="1" applyBorder="1" applyAlignment="1">
      <alignment vertical="center"/>
    </xf>
    <xf numFmtId="4" fontId="21" fillId="0" borderId="48" xfId="0" applyNumberFormat="1" applyFont="1" applyFill="1" applyBorder="1" applyAlignment="1">
      <alignment horizontal="right" vertical="center"/>
    </xf>
    <xf numFmtId="4" fontId="21" fillId="0" borderId="49" xfId="0" applyNumberFormat="1" applyFont="1" applyFill="1" applyBorder="1" applyAlignment="1">
      <alignment horizontal="right" vertical="center"/>
    </xf>
    <xf numFmtId="4" fontId="21" fillId="0" borderId="50" xfId="0" applyNumberFormat="1" applyFont="1" applyFill="1" applyBorder="1" applyAlignment="1">
      <alignment vertical="center"/>
    </xf>
    <xf numFmtId="4" fontId="25" fillId="0" borderId="40" xfId="0" applyNumberFormat="1" applyFont="1" applyFill="1" applyBorder="1" applyAlignment="1">
      <alignment vertical="center"/>
    </xf>
    <xf numFmtId="4" fontId="25" fillId="0" borderId="41" xfId="0" applyNumberFormat="1" applyFont="1" applyFill="1" applyBorder="1" applyAlignment="1">
      <alignment vertical="center"/>
    </xf>
    <xf numFmtId="4" fontId="20" fillId="0" borderId="45" xfId="0" applyNumberFormat="1" applyFont="1" applyFill="1" applyBorder="1" applyAlignment="1">
      <alignment vertical="center"/>
    </xf>
    <xf numFmtId="4" fontId="20" fillId="0" borderId="46" xfId="0" applyNumberFormat="1" applyFont="1" applyFill="1" applyBorder="1" applyAlignment="1">
      <alignment vertical="center"/>
    </xf>
    <xf numFmtId="4" fontId="20" fillId="0" borderId="11" xfId="0" applyNumberFormat="1" applyFont="1" applyFill="1" applyBorder="1" applyAlignment="1">
      <alignment vertical="center"/>
    </xf>
    <xf numFmtId="4" fontId="20" fillId="0" borderId="12" xfId="0" applyNumberFormat="1" applyFont="1" applyFill="1" applyBorder="1" applyAlignment="1">
      <alignment vertical="center"/>
    </xf>
    <xf numFmtId="4" fontId="20" fillId="0" borderId="13" xfId="0" applyNumberFormat="1" applyFont="1" applyFill="1" applyBorder="1" applyAlignment="1">
      <alignment vertical="center"/>
    </xf>
    <xf numFmtId="4" fontId="21" fillId="0" borderId="45" xfId="0" applyNumberFormat="1" applyFont="1" applyFill="1" applyBorder="1" applyAlignment="1">
      <alignment vertical="center"/>
    </xf>
    <xf numFmtId="4" fontId="21" fillId="0" borderId="46" xfId="0" applyNumberFormat="1" applyFont="1" applyFill="1" applyBorder="1" applyAlignment="1">
      <alignment vertical="center"/>
    </xf>
    <xf numFmtId="4" fontId="21" fillId="0" borderId="24" xfId="0" applyNumberFormat="1" applyFont="1" applyFill="1" applyBorder="1" applyAlignment="1">
      <alignment vertical="center"/>
    </xf>
    <xf numFmtId="4" fontId="21" fillId="0" borderId="48" xfId="0" applyNumberFormat="1" applyFont="1" applyFill="1" applyBorder="1" applyAlignment="1">
      <alignment vertical="center"/>
    </xf>
    <xf numFmtId="4" fontId="21" fillId="0" borderId="49" xfId="0" applyNumberFormat="1" applyFont="1" applyFill="1" applyBorder="1" applyAlignment="1">
      <alignment vertical="center"/>
    </xf>
    <xf numFmtId="4" fontId="22" fillId="0" borderId="24" xfId="0" applyNumberFormat="1" applyFont="1" applyFill="1" applyBorder="1" applyAlignment="1">
      <alignment vertical="center"/>
    </xf>
    <xf numFmtId="4" fontId="21" fillId="0" borderId="41" xfId="0" applyNumberFormat="1" applyFont="1" applyFill="1" applyBorder="1" applyAlignment="1">
      <alignment vertical="center"/>
    </xf>
    <xf numFmtId="4" fontId="25" fillId="0" borderId="11" xfId="0" applyNumberFormat="1" applyFont="1" applyFill="1" applyBorder="1" applyAlignment="1">
      <alignment vertical="center"/>
    </xf>
    <xf numFmtId="4" fontId="25" fillId="0" borderId="12" xfId="0" applyNumberFormat="1" applyFont="1" applyFill="1" applyBorder="1" applyAlignment="1">
      <alignment vertical="center"/>
    </xf>
    <xf numFmtId="4" fontId="25" fillId="0" borderId="13" xfId="0" applyNumberFormat="1" applyFont="1" applyFill="1" applyBorder="1" applyAlignment="1">
      <alignment vertical="center"/>
    </xf>
    <xf numFmtId="4" fontId="20" fillId="0" borderId="40" xfId="0" applyNumberFormat="1" applyFont="1" applyFill="1" applyBorder="1" applyAlignment="1">
      <alignment vertical="center"/>
    </xf>
    <xf numFmtId="4" fontId="20" fillId="0" borderId="41" xfId="0" applyNumberFormat="1" applyFont="1" applyFill="1" applyBorder="1" applyAlignment="1">
      <alignment vertical="center"/>
    </xf>
    <xf numFmtId="4" fontId="23" fillId="0" borderId="45" xfId="0" applyNumberFormat="1" applyFont="1" applyFill="1" applyBorder="1" applyAlignment="1">
      <alignment vertical="center"/>
    </xf>
    <xf numFmtId="49" fontId="20" fillId="0" borderId="30" xfId="0" applyNumberFormat="1" applyFont="1" applyFill="1" applyBorder="1" applyAlignment="1">
      <alignment horizontal="center" vertical="center"/>
    </xf>
    <xf numFmtId="188" fontId="21" fillId="0" borderId="31" xfId="0" applyNumberFormat="1" applyFont="1" applyFill="1" applyBorder="1" applyAlignment="1">
      <alignment vertical="center"/>
    </xf>
    <xf numFmtId="188" fontId="21" fillId="0" borderId="62" xfId="0" applyNumberFormat="1" applyFont="1" applyFill="1" applyBorder="1" applyAlignment="1">
      <alignment vertical="center"/>
    </xf>
    <xf numFmtId="49" fontId="20" fillId="0" borderId="21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 vertical="center"/>
    </xf>
    <xf numFmtId="188" fontId="21" fillId="0" borderId="82" xfId="0" applyNumberFormat="1" applyFont="1" applyFill="1" applyBorder="1" applyAlignment="1">
      <alignment vertical="center"/>
    </xf>
    <xf numFmtId="188" fontId="21" fillId="0" borderId="83" xfId="0" applyNumberFormat="1" applyFont="1" applyFill="1" applyBorder="1" applyAlignment="1">
      <alignment vertical="center"/>
    </xf>
    <xf numFmtId="49" fontId="20" fillId="0" borderId="29" xfId="0" applyNumberFormat="1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49" fontId="20" fillId="0" borderId="44" xfId="0" applyNumberFormat="1" applyFont="1" applyFill="1" applyBorder="1" applyAlignment="1">
      <alignment horizontal="center" vertical="center"/>
    </xf>
    <xf numFmtId="49" fontId="21" fillId="0" borderId="48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 applyProtection="1">
      <alignment horizontal="left" vertical="center" wrapText="1"/>
      <protection/>
    </xf>
    <xf numFmtId="49" fontId="21" fillId="0" borderId="29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49" fontId="20" fillId="0" borderId="25" xfId="0" applyNumberFormat="1" applyFont="1" applyFill="1" applyBorder="1" applyAlignment="1">
      <alignment horizontal="center" vertical="center"/>
    </xf>
    <xf numFmtId="49" fontId="21" fillId="0" borderId="36" xfId="0" applyNumberFormat="1" applyFont="1" applyFill="1" applyBorder="1" applyAlignment="1">
      <alignment horizontal="center" vertical="center"/>
    </xf>
    <xf numFmtId="4" fontId="20" fillId="0" borderId="50" xfId="0" applyNumberFormat="1" applyFont="1" applyFill="1" applyBorder="1" applyAlignment="1">
      <alignment vertical="center"/>
    </xf>
    <xf numFmtId="4" fontId="21" fillId="0" borderId="11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/>
    </xf>
    <xf numFmtId="4" fontId="21" fillId="0" borderId="13" xfId="0" applyNumberFormat="1" applyFont="1" applyFill="1" applyBorder="1" applyAlignment="1">
      <alignment vertical="center"/>
    </xf>
    <xf numFmtId="4" fontId="21" fillId="0" borderId="16" xfId="0" applyNumberFormat="1" applyFont="1" applyFill="1" applyBorder="1" applyAlignment="1">
      <alignment vertical="center"/>
    </xf>
    <xf numFmtId="4" fontId="20" fillId="0" borderId="17" xfId="0" applyNumberFormat="1" applyFont="1" applyFill="1" applyBorder="1" applyAlignment="1">
      <alignment vertical="center"/>
    </xf>
    <xf numFmtId="4" fontId="20" fillId="0" borderId="24" xfId="0" applyNumberFormat="1" applyFont="1" applyFill="1" applyBorder="1" applyAlignment="1">
      <alignment horizontal="right" vertical="center"/>
    </xf>
    <xf numFmtId="4" fontId="23" fillId="0" borderId="40" xfId="0" applyNumberFormat="1" applyFont="1" applyFill="1" applyBorder="1" applyAlignment="1">
      <alignment vertical="center"/>
    </xf>
    <xf numFmtId="4" fontId="20" fillId="0" borderId="16" xfId="0" applyNumberFormat="1" applyFont="1" applyFill="1" applyBorder="1" applyAlignment="1">
      <alignment vertical="center"/>
    </xf>
    <xf numFmtId="4" fontId="23" fillId="0" borderId="16" xfId="0" applyNumberFormat="1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'[2]Прил 5'!$A$525:$F$1899</c:f>
              <c:multiLvlStrCache>
                <c:ptCount val="1"/>
                <c:lvl>
                  <c:pt idx="0">
                    <c:v>Почие услуги</c:v>
                  </c:pt>
                </c:lvl>
                <c:lvl>
                  <c:pt idx="0">
                    <c:v>Приобретение работ, услуг</c:v>
                  </c:pt>
                </c:lvl>
                <c:lvl>
                  <c:pt idx="0">
                    <c:v>Расходы</c:v>
                  </c:pt>
                </c:lvl>
                <c:lvl>
                  <c:pt idx="0">
                    <c:v>Выполнение функций органами местного самоуправления</c:v>
                  </c:pt>
                </c:lvl>
                <c:lvl>
                  <c:pt idx="0">
                    <c:v>Целевые программы муниципальных образований "Комплексные меры злаупотребления наркотиками"</c:v>
                  </c:pt>
                </c:lvl>
                <c:lvl>
                  <c:pt idx="0">
                    <c:v>Увеличение стоимости материальных запасов </c:v>
                  </c:pt>
                </c:lvl>
              </c:multiLvlStrCache>
            </c:multiLvlStrRef>
          </c:cat>
          <c:val>
            <c:numRef>
              <c:f>'[2]Прил 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'[2]Прил 5'!$A$525:$F$1899</c:f>
              <c:multiLvlStrCache>
                <c:ptCount val="1"/>
                <c:lvl>
                  <c:pt idx="0">
                    <c:v>Почие услуги</c:v>
                  </c:pt>
                </c:lvl>
                <c:lvl>
                  <c:pt idx="0">
                    <c:v>Приобретение работ, услуг</c:v>
                  </c:pt>
                </c:lvl>
                <c:lvl>
                  <c:pt idx="0">
                    <c:v>Расходы</c:v>
                  </c:pt>
                </c:lvl>
                <c:lvl>
                  <c:pt idx="0">
                    <c:v>Выполнение функций органами местного самоуправления</c:v>
                  </c:pt>
                </c:lvl>
                <c:lvl>
                  <c:pt idx="0">
                    <c:v>Целевые программы муниципальных образований "Комплексные меры злаупотребления наркотиками"</c:v>
                  </c:pt>
                </c:lvl>
                <c:lvl>
                  <c:pt idx="0">
                    <c:v>Увеличение стоимости материальных запасов </c:v>
                  </c:pt>
                </c:lvl>
              </c:multiLvlStrCache>
            </c:multiLvlStrRef>
          </c:cat>
          <c:val>
            <c:numRef>
              <c:f>'[2]Прил 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'[2]Прил 5'!$A$525:$F$1899</c:f>
              <c:multiLvlStrCache>
                <c:ptCount val="1"/>
                <c:lvl>
                  <c:pt idx="0">
                    <c:v>Почие услуги</c:v>
                  </c:pt>
                </c:lvl>
                <c:lvl>
                  <c:pt idx="0">
                    <c:v>Приобретение работ, услуг</c:v>
                  </c:pt>
                </c:lvl>
                <c:lvl>
                  <c:pt idx="0">
                    <c:v>Расходы</c:v>
                  </c:pt>
                </c:lvl>
                <c:lvl>
                  <c:pt idx="0">
                    <c:v>Выполнение функций органами местного самоуправления</c:v>
                  </c:pt>
                </c:lvl>
                <c:lvl>
                  <c:pt idx="0">
                    <c:v>Целевые программы муниципальных образований "Комплексные меры злаупотребления наркотиками"</c:v>
                  </c:pt>
                </c:lvl>
                <c:lvl>
                  <c:pt idx="0">
                    <c:v>Увеличение стоимости материальных запасов </c:v>
                  </c:pt>
                </c:lvl>
              </c:multiLvlStrCache>
            </c:multiLvlStrRef>
          </c:cat>
          <c:val>
            <c:numRef>
              <c:f>'[2]Прил 5'!#REF!</c:f>
              <c:numCache>
                <c:ptCount val="1"/>
                <c:pt idx="0">
                  <c:v>0</c:v>
                </c:pt>
              </c:numCache>
            </c:numRef>
          </c:val>
        </c:ser>
        <c:axId val="30054905"/>
        <c:axId val="2058690"/>
      </c:areaChart>
      <c:catAx>
        <c:axId val="30054905"/>
        <c:scaling>
          <c:orientation val="minMax"/>
        </c:scaling>
        <c:axPos val="b"/>
        <c:delete val="1"/>
        <c:majorTickMark val="out"/>
        <c:minorTickMark val="none"/>
        <c:tickLblPos val="nextTo"/>
        <c:crossAx val="2058690"/>
        <c:crosses val="autoZero"/>
        <c:auto val="1"/>
        <c:lblOffset val="100"/>
        <c:tickLblSkip val="1"/>
        <c:noMultiLvlLbl val="0"/>
      </c:catAx>
      <c:valAx>
        <c:axId val="20586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00549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'[1]Прил 5'!$A$525:$F$1899</c:f>
              <c:multiLvlStrCache>
                <c:ptCount val="1"/>
                <c:lvl>
                  <c:pt idx="0">
                    <c:v>Почие услуги</c:v>
                  </c:pt>
                </c:lvl>
                <c:lvl>
                  <c:pt idx="0">
                    <c:v>Приобретение работ, услуг</c:v>
                  </c:pt>
                </c:lvl>
                <c:lvl>
                  <c:pt idx="0">
                    <c:v>Расходы</c:v>
                  </c:pt>
                </c:lvl>
                <c:lvl>
                  <c:pt idx="0">
                    <c:v>Выполнение функций органами местного самоуправления</c:v>
                  </c:pt>
                </c:lvl>
                <c:lvl>
                  <c:pt idx="0">
                    <c:v>Целевые программы муниципальных образований "Комплексные меры злаупотребления наркотиками"</c:v>
                  </c:pt>
                </c:lvl>
                <c:lvl>
                  <c:pt idx="0">
                    <c:v>Увеличение стоимости материальных запасов </c:v>
                  </c:pt>
                </c:lvl>
              </c:multiLvlStrCache>
            </c:multiLvlStrRef>
          </c:cat>
          <c:val>
            <c:numRef>
              <c:f>'[1]Прил 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'[1]Прил 5'!$A$525:$F$1899</c:f>
              <c:multiLvlStrCache>
                <c:ptCount val="1"/>
                <c:lvl>
                  <c:pt idx="0">
                    <c:v>Почие услуги</c:v>
                  </c:pt>
                </c:lvl>
                <c:lvl>
                  <c:pt idx="0">
                    <c:v>Приобретение работ, услуг</c:v>
                  </c:pt>
                </c:lvl>
                <c:lvl>
                  <c:pt idx="0">
                    <c:v>Расходы</c:v>
                  </c:pt>
                </c:lvl>
                <c:lvl>
                  <c:pt idx="0">
                    <c:v>Выполнение функций органами местного самоуправления</c:v>
                  </c:pt>
                </c:lvl>
                <c:lvl>
                  <c:pt idx="0">
                    <c:v>Целевые программы муниципальных образований "Комплексные меры злаупотребления наркотиками"</c:v>
                  </c:pt>
                </c:lvl>
                <c:lvl>
                  <c:pt idx="0">
                    <c:v>Увеличение стоимости материальных запасов </c:v>
                  </c:pt>
                </c:lvl>
              </c:multiLvlStrCache>
            </c:multiLvlStrRef>
          </c:cat>
          <c:val>
            <c:numRef>
              <c:f>'[1]Прил 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'[1]Прил 5'!$A$525:$F$1899</c:f>
              <c:multiLvlStrCache>
                <c:ptCount val="1"/>
                <c:lvl>
                  <c:pt idx="0">
                    <c:v>Почие услуги</c:v>
                  </c:pt>
                </c:lvl>
                <c:lvl>
                  <c:pt idx="0">
                    <c:v>Приобретение работ, услуг</c:v>
                  </c:pt>
                </c:lvl>
                <c:lvl>
                  <c:pt idx="0">
                    <c:v>Расходы</c:v>
                  </c:pt>
                </c:lvl>
                <c:lvl>
                  <c:pt idx="0">
                    <c:v>Выполнение функций органами местного самоуправления</c:v>
                  </c:pt>
                </c:lvl>
                <c:lvl>
                  <c:pt idx="0">
                    <c:v>Целевые программы муниципальных образований "Комплексные меры злаупотребления наркотиками"</c:v>
                  </c:pt>
                </c:lvl>
                <c:lvl>
                  <c:pt idx="0">
                    <c:v>Увеличение стоимости материальных запасов </c:v>
                  </c:pt>
                </c:lvl>
              </c:multiLvlStrCache>
            </c:multiLvlStrRef>
          </c:cat>
          <c:val>
            <c:numRef>
              <c:f>'[1]Прил 5'!#REF!</c:f>
              <c:numCache>
                <c:ptCount val="1"/>
                <c:pt idx="0">
                  <c:v>0</c:v>
                </c:pt>
              </c:numCache>
            </c:numRef>
          </c:val>
        </c:ser>
        <c:axId val="18528211"/>
        <c:axId val="32536172"/>
      </c:areaChart>
      <c:catAx>
        <c:axId val="18528211"/>
        <c:scaling>
          <c:orientation val="minMax"/>
        </c:scaling>
        <c:axPos val="b"/>
        <c:delete val="1"/>
        <c:majorTickMark val="out"/>
        <c:minorTickMark val="none"/>
        <c:tickLblPos val="nextTo"/>
        <c:crossAx val="32536172"/>
        <c:crosses val="autoZero"/>
        <c:auto val="1"/>
        <c:lblOffset val="100"/>
        <c:tickLblSkip val="1"/>
        <c:noMultiLvlLbl val="0"/>
      </c:catAx>
      <c:valAx>
        <c:axId val="325361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85282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1245</xdr:row>
      <xdr:rowOff>0</xdr:rowOff>
    </xdr:from>
    <xdr:to>
      <xdr:col>6</xdr:col>
      <xdr:colOff>0</xdr:colOff>
      <xdr:row>1245</xdr:row>
      <xdr:rowOff>0</xdr:rowOff>
    </xdr:to>
    <xdr:graphicFrame>
      <xdr:nvGraphicFramePr>
        <xdr:cNvPr id="1" name="Chart 1"/>
        <xdr:cNvGraphicFramePr/>
      </xdr:nvGraphicFramePr>
      <xdr:xfrm>
        <a:off x="5857875" y="739140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1245</xdr:row>
      <xdr:rowOff>0</xdr:rowOff>
    </xdr:from>
    <xdr:to>
      <xdr:col>6</xdr:col>
      <xdr:colOff>0</xdr:colOff>
      <xdr:row>1245</xdr:row>
      <xdr:rowOff>0</xdr:rowOff>
    </xdr:to>
    <xdr:graphicFrame>
      <xdr:nvGraphicFramePr>
        <xdr:cNvPr id="2" name="Chart 1"/>
        <xdr:cNvGraphicFramePr/>
      </xdr:nvGraphicFramePr>
      <xdr:xfrm>
        <a:off x="5857875" y="739140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95;&#1090;&#1072;\&#1055;&#1088;&#1080;&#1083;&#1086;&#1078;&#1077;&#1085;&#1080;&#1077;%20&#8470;5%20(&#1087;&#1086;%20&#1050;&#1041;&#1050;)%20&#1053;&#1054;&#1042;&#1067;&#1049;%20%20&#1053;&#1040;%20&#1055;&#1045;&#1063;&#1040;&#1058;&#1068;!!!!!!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&#1099;\&#1041;&#1102;&#1076;&#1078;&#1077;&#1090;&#1099;\2013&#1075;&#1086;&#1076;\&#1055;&#1088;&#1080;&#1083;&#1086;&#1078;&#1077;&#1085;&#1080;&#1077;%20&#8470;5%20(&#1087;&#1086;%20&#1050;&#1041;&#1050;)%20&#1053;&#1054;&#1042;&#1067;&#1049;%20%20&#1053;&#1040;%20&#1055;&#1045;&#1063;&#1040;&#1058;&#1068;!!!!!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5"/>
    </sheetNames>
    <sheetDataSet>
      <sheetData sheetId="0">
        <row r="525">
          <cell r="A525" t="str">
            <v>Субвенции  на осуществление органами местного самоуправления ОГП по обеспечению жилыми помещениями детей сирот, оставшихся без попечения родителей</v>
          </cell>
          <cell r="B525" t="str">
            <v>902</v>
          </cell>
          <cell r="C525" t="str">
            <v>05</v>
          </cell>
          <cell r="D525" t="str">
            <v>01</v>
          </cell>
          <cell r="E525" t="str">
            <v>505 36 00</v>
          </cell>
          <cell r="F525" t="str">
            <v>000</v>
          </cell>
        </row>
        <row r="526">
          <cell r="A526" t="str">
            <v>ФБ</v>
          </cell>
          <cell r="B526" t="str">
            <v>902</v>
          </cell>
          <cell r="C526" t="str">
            <v>05</v>
          </cell>
          <cell r="D526" t="str">
            <v>01</v>
          </cell>
          <cell r="E526" t="str">
            <v>505 36 00</v>
          </cell>
          <cell r="F526" t="str">
            <v>000</v>
          </cell>
        </row>
        <row r="527">
          <cell r="A527" t="str">
            <v>Поступление нефинансовых активов</v>
          </cell>
          <cell r="B527" t="str">
            <v>902</v>
          </cell>
          <cell r="C527" t="str">
            <v>05</v>
          </cell>
          <cell r="D527" t="str">
            <v>01</v>
          </cell>
          <cell r="E527" t="str">
            <v>505 36 00</v>
          </cell>
          <cell r="F527" t="str">
            <v>003</v>
          </cell>
        </row>
        <row r="528">
          <cell r="A528" t="str">
            <v>Увеличение стоимости основных средств</v>
          </cell>
          <cell r="B528" t="str">
            <v>902</v>
          </cell>
          <cell r="C528" t="str">
            <v>05</v>
          </cell>
          <cell r="D528" t="str">
            <v>01</v>
          </cell>
          <cell r="E528" t="str">
            <v>505 36 00</v>
          </cell>
          <cell r="F528" t="str">
            <v>003</v>
          </cell>
        </row>
        <row r="529">
          <cell r="A529" t="str">
            <v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ФБ</v>
          </cell>
          <cell r="B529" t="str">
            <v>902</v>
          </cell>
          <cell r="C529" t="str">
            <v>05</v>
          </cell>
          <cell r="D529" t="str">
            <v>01</v>
          </cell>
          <cell r="E529" t="str">
            <v>505 36 00</v>
          </cell>
          <cell r="F529" t="str">
            <v>000</v>
          </cell>
        </row>
        <row r="530">
          <cell r="B530" t="str">
            <v>902</v>
          </cell>
          <cell r="C530" t="str">
            <v>05</v>
          </cell>
          <cell r="D530" t="str">
            <v>01</v>
          </cell>
          <cell r="E530" t="str">
            <v>505 36 00</v>
          </cell>
          <cell r="F530" t="str">
            <v>000</v>
          </cell>
        </row>
        <row r="531">
          <cell r="B531" t="str">
            <v>902</v>
          </cell>
          <cell r="C531" t="str">
            <v>05</v>
          </cell>
          <cell r="D531" t="str">
            <v>01</v>
          </cell>
          <cell r="E531" t="str">
            <v>505 36 00</v>
          </cell>
          <cell r="F531" t="str">
            <v>003</v>
          </cell>
        </row>
        <row r="532">
          <cell r="B532" t="str">
            <v>902</v>
          </cell>
          <cell r="C532" t="str">
            <v>05</v>
          </cell>
          <cell r="D532" t="str">
            <v>01</v>
          </cell>
          <cell r="E532" t="str">
            <v>505 36 00</v>
          </cell>
          <cell r="F532" t="str">
            <v>003</v>
          </cell>
        </row>
        <row r="533">
          <cell r="B533" t="str">
            <v>902</v>
          </cell>
          <cell r="C533" t="str">
            <v>05</v>
          </cell>
          <cell r="D533" t="str">
            <v>01</v>
          </cell>
          <cell r="E533" t="str">
            <v>505 36 00</v>
          </cell>
          <cell r="F533" t="str">
            <v>003</v>
          </cell>
        </row>
        <row r="534">
          <cell r="A534" t="str">
            <v>Поступление нефинансовых активов</v>
          </cell>
          <cell r="B534" t="str">
            <v>902</v>
          </cell>
          <cell r="C534" t="str">
            <v>05</v>
          </cell>
          <cell r="D534" t="str">
            <v>01</v>
          </cell>
          <cell r="E534" t="str">
            <v>505 36 00</v>
          </cell>
          <cell r="F534" t="str">
            <v>003</v>
          </cell>
        </row>
        <row r="535">
          <cell r="A535" t="str">
            <v>Увеличение стоимости основных средств</v>
          </cell>
          <cell r="B535" t="str">
            <v>902</v>
          </cell>
          <cell r="C535" t="str">
            <v>05</v>
          </cell>
          <cell r="D535" t="str">
            <v>01</v>
          </cell>
          <cell r="E535" t="str">
            <v>505 36 00</v>
          </cell>
          <cell r="F535" t="str">
            <v>003</v>
          </cell>
        </row>
        <row r="536">
          <cell r="A536" t="str">
            <v>Целевые программы муниципальных образований </v>
          </cell>
          <cell r="B536" t="str">
            <v>902</v>
          </cell>
          <cell r="C536" t="str">
            <v>05</v>
          </cell>
          <cell r="D536" t="str">
            <v>01</v>
          </cell>
          <cell r="E536" t="str">
            <v>795 00 00</v>
          </cell>
          <cell r="F536" t="str">
            <v>000</v>
          </cell>
        </row>
        <row r="537">
          <cell r="A537" t="str">
            <v>Выполнение функций органами местного самоуправления</v>
          </cell>
          <cell r="B537" t="str">
            <v>902</v>
          </cell>
          <cell r="C537" t="str">
            <v>05</v>
          </cell>
          <cell r="D537" t="str">
            <v>01</v>
          </cell>
          <cell r="E537" t="str">
            <v>795 00 00</v>
          </cell>
          <cell r="F537" t="str">
            <v>500</v>
          </cell>
        </row>
        <row r="538">
          <cell r="A538" t="str">
            <v>Расходы</v>
          </cell>
          <cell r="B538" t="str">
            <v>902</v>
          </cell>
          <cell r="C538" t="str">
            <v>05</v>
          </cell>
          <cell r="D538" t="str">
            <v>01</v>
          </cell>
          <cell r="E538" t="str">
            <v>795 00 00</v>
          </cell>
          <cell r="F538" t="str">
            <v>500</v>
          </cell>
        </row>
        <row r="539">
          <cell r="A539" t="str">
            <v>Приобретение работ, услуг</v>
          </cell>
          <cell r="B539" t="str">
            <v>902</v>
          </cell>
          <cell r="C539" t="str">
            <v>05</v>
          </cell>
          <cell r="D539" t="str">
            <v>01</v>
          </cell>
          <cell r="E539" t="str">
            <v>795 00 00</v>
          </cell>
          <cell r="F539" t="str">
            <v>500</v>
          </cell>
        </row>
        <row r="540">
          <cell r="A540" t="str">
            <v>"Переселение  граждан из ветхого и аварийного  жилиго фонда  на 2011-2013 гг"</v>
          </cell>
          <cell r="B540" t="str">
            <v>902</v>
          </cell>
          <cell r="C540" t="str">
            <v>05</v>
          </cell>
          <cell r="D540" t="str">
            <v>01</v>
          </cell>
          <cell r="E540" t="str">
            <v>795 24 00</v>
          </cell>
          <cell r="F540" t="str">
            <v>000</v>
          </cell>
        </row>
        <row r="541">
          <cell r="A541" t="str">
            <v>Прочие расходы "Переселение граждан из ветхого и аварийного жилья"</v>
          </cell>
          <cell r="B541" t="str">
            <v>902</v>
          </cell>
          <cell r="C541" t="str">
            <v>05</v>
          </cell>
          <cell r="D541" t="str">
            <v>01</v>
          </cell>
          <cell r="E541" t="str">
            <v>795 00 00</v>
          </cell>
          <cell r="F541" t="str">
            <v>500</v>
          </cell>
        </row>
        <row r="542">
          <cell r="A542" t="str">
            <v>Поступление нефинансовых активов</v>
          </cell>
          <cell r="B542" t="str">
            <v>902</v>
          </cell>
          <cell r="C542" t="str">
            <v>05</v>
          </cell>
          <cell r="D542" t="str">
            <v>01</v>
          </cell>
          <cell r="E542" t="str">
            <v>795 00 00</v>
          </cell>
          <cell r="F542" t="str">
            <v>500</v>
          </cell>
        </row>
        <row r="543">
          <cell r="A543" t="str">
            <v>Увеличение стоимости основных средств "Переселение граждан из ветхого и авар жилья"</v>
          </cell>
          <cell r="B543" t="str">
            <v>902</v>
          </cell>
          <cell r="C543" t="str">
            <v>05</v>
          </cell>
          <cell r="D543" t="str">
            <v>01</v>
          </cell>
          <cell r="E543" t="str">
            <v>795 00 00</v>
          </cell>
          <cell r="F543" t="str">
            <v>500</v>
          </cell>
        </row>
        <row r="544">
          <cell r="A544" t="str">
            <v>Выполнение функций органами местного самоуправления</v>
          </cell>
          <cell r="B544" t="str">
            <v>902</v>
          </cell>
          <cell r="C544" t="str">
            <v>05</v>
          </cell>
          <cell r="D544" t="str">
            <v>01</v>
          </cell>
          <cell r="E544" t="str">
            <v>795 24 00</v>
          </cell>
          <cell r="F544" t="str">
            <v>500</v>
          </cell>
        </row>
        <row r="545">
          <cell r="A545" t="str">
            <v>"Проведение капитального ремонта  многоквартирных жилых  домов на территории Усольского района  на 2012-2015 гг"</v>
          </cell>
          <cell r="B545" t="str">
            <v>902</v>
          </cell>
          <cell r="C545" t="str">
            <v>05</v>
          </cell>
          <cell r="D545" t="str">
            <v>01</v>
          </cell>
          <cell r="E545" t="str">
            <v>795 36 00</v>
          </cell>
          <cell r="F545" t="str">
            <v>000</v>
          </cell>
        </row>
        <row r="546">
          <cell r="A546" t="str">
            <v>Выполнение функций органами местного самоуправления</v>
          </cell>
          <cell r="B546" t="str">
            <v>902</v>
          </cell>
          <cell r="C546" t="str">
            <v>05</v>
          </cell>
          <cell r="D546" t="str">
            <v>01</v>
          </cell>
          <cell r="E546" t="str">
            <v>795 36 00</v>
          </cell>
          <cell r="F546" t="str">
            <v>500</v>
          </cell>
        </row>
        <row r="547">
          <cell r="A547" t="str">
            <v>Коммунальное хозяйство</v>
          </cell>
          <cell r="B547" t="str">
            <v>902</v>
          </cell>
          <cell r="C547" t="str">
            <v>05</v>
          </cell>
          <cell r="D547" t="str">
            <v>02</v>
          </cell>
          <cell r="E547" t="str">
            <v>000 00 00</v>
          </cell>
          <cell r="F547" t="str">
            <v>000</v>
          </cell>
        </row>
        <row r="548">
          <cell r="A548" t="str">
            <v>Резервные фонды</v>
          </cell>
          <cell r="B548" t="str">
            <v>902</v>
          </cell>
          <cell r="C548" t="str">
            <v>05</v>
          </cell>
          <cell r="D548" t="str">
            <v>02</v>
          </cell>
          <cell r="E548" t="str">
            <v>070 00 00</v>
          </cell>
          <cell r="F548" t="str">
            <v>000</v>
          </cell>
        </row>
        <row r="549">
          <cell r="A549" t="str">
            <v>Резервные фонды исполнительных органов государственной власти субъектов Российской Федерации</v>
          </cell>
          <cell r="B549" t="str">
            <v>902</v>
          </cell>
          <cell r="C549" t="str">
            <v>05</v>
          </cell>
          <cell r="D549" t="str">
            <v>02</v>
          </cell>
          <cell r="E549" t="str">
            <v>070 04 00</v>
          </cell>
          <cell r="F549" t="str">
            <v>000</v>
          </cell>
        </row>
        <row r="550">
          <cell r="A550" t="str">
            <v>Выполнение функций органами местного самоуправления</v>
          </cell>
          <cell r="B550" t="str">
            <v>902</v>
          </cell>
          <cell r="C550" t="str">
            <v>05</v>
          </cell>
          <cell r="D550" t="str">
            <v>02</v>
          </cell>
          <cell r="E550" t="str">
            <v>070 04 00</v>
          </cell>
          <cell r="F550" t="str">
            <v>500</v>
          </cell>
        </row>
        <row r="551">
          <cell r="A551" t="str">
            <v>Расходы</v>
          </cell>
          <cell r="B551" t="str">
            <v>902</v>
          </cell>
          <cell r="C551" t="str">
            <v>05</v>
          </cell>
          <cell r="D551" t="str">
            <v>02</v>
          </cell>
          <cell r="E551" t="str">
            <v>070  04 00</v>
          </cell>
          <cell r="F551" t="str">
            <v>500</v>
          </cell>
        </row>
        <row r="552">
          <cell r="A552" t="str">
            <v>Приобретение работ, услуг</v>
          </cell>
          <cell r="B552" t="str">
            <v>902</v>
          </cell>
          <cell r="C552" t="str">
            <v>05</v>
          </cell>
          <cell r="D552" t="str">
            <v>02</v>
          </cell>
          <cell r="E552" t="str">
            <v>070  04 00</v>
          </cell>
          <cell r="F552" t="str">
            <v>500</v>
          </cell>
        </row>
        <row r="553">
          <cell r="A553" t="str">
            <v>Работы, услуги по содержанию имущества</v>
          </cell>
          <cell r="B553" t="str">
            <v>902</v>
          </cell>
          <cell r="C553" t="str">
            <v>05</v>
          </cell>
          <cell r="D553" t="str">
            <v>02</v>
          </cell>
          <cell r="E553" t="str">
            <v>070 04 00</v>
          </cell>
          <cell r="F553" t="str">
            <v>500</v>
          </cell>
        </row>
        <row r="554">
          <cell r="A554" t="str">
            <v>Поддержка коммунального хозяйства </v>
          </cell>
          <cell r="B554" t="str">
            <v>902</v>
          </cell>
          <cell r="C554" t="str">
            <v>05</v>
          </cell>
          <cell r="D554" t="str">
            <v>02</v>
          </cell>
          <cell r="E554" t="str">
            <v>351 00 00</v>
          </cell>
          <cell r="F554" t="str">
            <v>000</v>
          </cell>
        </row>
        <row r="555">
          <cell r="A555" t="str">
            <v>Компенсация выпадающих доходов организациям, предоставляющим населению услуги теплоснабжения по тарифам, не обеспечивающим возмещение издержек</v>
          </cell>
          <cell r="B555" t="str">
            <v>902</v>
          </cell>
          <cell r="C555" t="str">
            <v>05</v>
          </cell>
          <cell r="D555" t="str">
            <v>02</v>
          </cell>
          <cell r="E555" t="str">
            <v>351 02 00</v>
          </cell>
          <cell r="F555" t="str">
            <v>000</v>
          </cell>
        </row>
        <row r="556">
          <cell r="A556" t="str">
            <v>Субсидии юридическим лицам</v>
          </cell>
          <cell r="B556" t="str">
            <v>902</v>
          </cell>
          <cell r="C556" t="str">
            <v>05</v>
          </cell>
          <cell r="D556" t="str">
            <v>02</v>
          </cell>
          <cell r="E556" t="str">
            <v>351 02 00</v>
          </cell>
          <cell r="F556" t="str">
            <v>006</v>
          </cell>
        </row>
        <row r="557">
          <cell r="A557" t="str">
            <v>Расходы</v>
          </cell>
          <cell r="B557" t="str">
            <v>902</v>
          </cell>
          <cell r="C557" t="str">
            <v>05</v>
          </cell>
          <cell r="D557" t="str">
            <v>02</v>
          </cell>
          <cell r="E557" t="str">
            <v>351 02 00</v>
          </cell>
          <cell r="F557" t="str">
            <v>006</v>
          </cell>
        </row>
        <row r="558">
          <cell r="A558" t="str">
            <v>Безвозмездные и безвозвратные перечисления  организациям </v>
          </cell>
          <cell r="B558" t="str">
            <v>902</v>
          </cell>
          <cell r="C558" t="str">
            <v>05</v>
          </cell>
          <cell r="D558" t="str">
            <v>02</v>
          </cell>
          <cell r="E558" t="str">
            <v>351 02 00</v>
          </cell>
          <cell r="F558" t="str">
            <v>006</v>
          </cell>
        </row>
        <row r="559">
          <cell r="A559" t="str">
            <v>Безвозмездные и безвозвратные перечисления организациям, за исключением государственных и муниципальных организаций район</v>
          </cell>
          <cell r="B559" t="str">
            <v>902</v>
          </cell>
          <cell r="C559" t="str">
            <v>05</v>
          </cell>
          <cell r="D559" t="str">
            <v>02</v>
          </cell>
          <cell r="E559" t="str">
            <v>351 02 00</v>
          </cell>
          <cell r="F559" t="str">
            <v>006</v>
          </cell>
        </row>
        <row r="560">
          <cell r="A560" t="str">
            <v>Безвозмездные и безвозвратные перечисления организациям, за исключением государственных и муниципальных организаций переданные Доп ЭК 8.30.00.00</v>
          </cell>
          <cell r="B560" t="str">
            <v>902</v>
          </cell>
          <cell r="C560" t="str">
            <v>05</v>
          </cell>
          <cell r="D560" t="str">
            <v>02</v>
          </cell>
          <cell r="E560" t="str">
            <v>351 02 00</v>
          </cell>
          <cell r="F560" t="str">
            <v>006</v>
          </cell>
        </row>
        <row r="561">
          <cell r="A561" t="str">
            <v>Мероприятия в области коммунального хозяйства по подготовке к зиме</v>
          </cell>
          <cell r="B561" t="str">
            <v>902</v>
          </cell>
          <cell r="C561" t="str">
            <v>05</v>
          </cell>
          <cell r="D561" t="str">
            <v>02</v>
          </cell>
          <cell r="E561" t="str">
            <v>351 05 00</v>
          </cell>
          <cell r="F561" t="str">
            <v>000</v>
          </cell>
        </row>
        <row r="562">
          <cell r="A562" t="str">
            <v>Выполнение функций органами местного самоуправления</v>
          </cell>
          <cell r="B562" t="str">
            <v>902</v>
          </cell>
          <cell r="C562" t="str">
            <v>05</v>
          </cell>
          <cell r="D562" t="str">
            <v>02</v>
          </cell>
          <cell r="E562" t="str">
            <v>351 05 00</v>
          </cell>
          <cell r="F562" t="str">
            <v>500</v>
          </cell>
        </row>
        <row r="563">
          <cell r="A563" t="str">
            <v>Расходы</v>
          </cell>
          <cell r="B563" t="str">
            <v>902</v>
          </cell>
          <cell r="C563" t="str">
            <v>05</v>
          </cell>
          <cell r="D563" t="str">
            <v>02</v>
          </cell>
          <cell r="E563" t="str">
            <v>351 05 00</v>
          </cell>
          <cell r="F563" t="str">
            <v>500</v>
          </cell>
        </row>
        <row r="564">
          <cell r="A564" t="str">
            <v>Приобретение работ, услуг</v>
          </cell>
          <cell r="B564" t="str">
            <v>902</v>
          </cell>
          <cell r="C564" t="str">
            <v>05</v>
          </cell>
          <cell r="D564" t="str">
            <v>02</v>
          </cell>
          <cell r="E564" t="str">
            <v>351 05 00</v>
          </cell>
          <cell r="F564" t="str">
            <v>500</v>
          </cell>
        </row>
        <row r="565">
          <cell r="A565" t="str">
            <v>Работы, услуги по содержанию имущества</v>
          </cell>
          <cell r="B565" t="str">
            <v>902</v>
          </cell>
          <cell r="C565" t="str">
            <v>05</v>
          </cell>
          <cell r="D565" t="str">
            <v>02</v>
          </cell>
          <cell r="E565" t="str">
            <v>351 05 00</v>
          </cell>
          <cell r="F565" t="str">
            <v>500</v>
          </cell>
        </row>
        <row r="566">
          <cell r="A566" t="str">
            <v>Поступление нефинансовых активов</v>
          </cell>
          <cell r="B566" t="str">
            <v>902</v>
          </cell>
          <cell r="C566" t="str">
            <v>05</v>
          </cell>
          <cell r="D566" t="str">
            <v>02</v>
          </cell>
          <cell r="E566" t="str">
            <v>351 05 00</v>
          </cell>
          <cell r="F566" t="str">
            <v>500</v>
          </cell>
        </row>
        <row r="567">
          <cell r="A567" t="str">
            <v>Увеличение стоимости основных средств</v>
          </cell>
          <cell r="B567" t="str">
            <v>902</v>
          </cell>
          <cell r="C567" t="str">
            <v>05</v>
          </cell>
          <cell r="D567" t="str">
            <v>02</v>
          </cell>
          <cell r="E567" t="str">
            <v>351 05 00</v>
          </cell>
          <cell r="F567" t="str">
            <v>500</v>
          </cell>
        </row>
        <row r="568">
          <cell r="A568" t="str">
            <v>Софинансирование социальных программ субъектов Российской Федерации, связанных с предоставлением субсидий бюджетам субъектов Российской Федерации на социальные программы субъектов Российской Федерации, связанные с укреплением материально-технической базы </v>
          </cell>
          <cell r="B568" t="str">
            <v>902</v>
          </cell>
          <cell r="C568" t="str">
            <v>05</v>
          </cell>
          <cell r="D568" t="str">
            <v>02</v>
          </cell>
          <cell r="E568" t="str">
            <v>521 00 00</v>
          </cell>
          <cell r="F568" t="str">
            <v>000</v>
          </cell>
        </row>
        <row r="569">
          <cell r="A569" t="str">
            <v>Субсидии в целях софинансирования расходных обязательств по организации в границах муниципальных образований электро-, тепло-, водоснабжения населения</v>
          </cell>
          <cell r="B569" t="str">
            <v>902</v>
          </cell>
          <cell r="C569" t="str">
            <v>05</v>
          </cell>
          <cell r="D569" t="str">
            <v>02</v>
          </cell>
          <cell r="E569" t="str">
            <v>521 01 05</v>
          </cell>
          <cell r="F569" t="str">
            <v>000</v>
          </cell>
        </row>
        <row r="570">
          <cell r="A570" t="str">
            <v>Субсидии юридическим лицам</v>
          </cell>
          <cell r="B570" t="str">
            <v>902</v>
          </cell>
          <cell r="C570" t="str">
            <v>05</v>
          </cell>
          <cell r="D570" t="str">
            <v>02</v>
          </cell>
          <cell r="E570" t="str">
            <v>521 01 05</v>
          </cell>
          <cell r="F570" t="str">
            <v>006</v>
          </cell>
        </row>
        <row r="571">
          <cell r="A571" t="str">
            <v>Расходы</v>
          </cell>
          <cell r="B571" t="str">
            <v>902</v>
          </cell>
          <cell r="C571" t="str">
            <v>05</v>
          </cell>
          <cell r="D571" t="str">
            <v>02</v>
          </cell>
          <cell r="E571" t="str">
            <v>521 01 05</v>
          </cell>
          <cell r="F571" t="str">
            <v>006</v>
          </cell>
        </row>
        <row r="572">
          <cell r="A572" t="str">
            <v>Безвозмездные и безвозвратные перечисления  организациям </v>
          </cell>
          <cell r="B572" t="str">
            <v>902</v>
          </cell>
          <cell r="C572" t="str">
            <v>05</v>
          </cell>
          <cell r="D572" t="str">
            <v>02</v>
          </cell>
          <cell r="E572" t="str">
            <v>521 01 05</v>
          </cell>
          <cell r="F572" t="str">
            <v>006</v>
          </cell>
        </row>
        <row r="573">
          <cell r="A573" t="str">
            <v>Безвозмездные и безвозвратные перечисления организациям, за исключением государственных и муниципальных организаций</v>
          </cell>
          <cell r="B573" t="str">
            <v>902</v>
          </cell>
          <cell r="C573" t="str">
            <v>05</v>
          </cell>
          <cell r="D573" t="str">
            <v>02</v>
          </cell>
          <cell r="E573" t="str">
            <v>521 01 05</v>
          </cell>
          <cell r="F573" t="str">
            <v>006</v>
          </cell>
        </row>
        <row r="574">
          <cell r="A574" t="str">
            <v>Долгосрочные целевые программы ОБ</v>
          </cell>
          <cell r="B574" t="str">
            <v>902</v>
          </cell>
          <cell r="C574" t="str">
            <v>05</v>
          </cell>
          <cell r="D574" t="str">
            <v>02</v>
          </cell>
          <cell r="E574" t="str">
            <v>522 00 00</v>
          </cell>
          <cell r="F574" t="str">
            <v>000</v>
          </cell>
        </row>
        <row r="575">
          <cell r="A575" t="str">
            <v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v>
          </cell>
          <cell r="B575" t="str">
            <v>902</v>
          </cell>
          <cell r="C575" t="str">
            <v>05</v>
          </cell>
          <cell r="D575" t="str">
            <v>02</v>
          </cell>
          <cell r="E575" t="str">
            <v>522 54 00</v>
          </cell>
          <cell r="F575" t="str">
            <v>000</v>
          </cell>
        </row>
        <row r="576">
          <cell r="A576" t="str">
            <v>Фонд софинансирования</v>
          </cell>
          <cell r="B576" t="str">
            <v>902</v>
          </cell>
          <cell r="C576" t="str">
            <v>05</v>
          </cell>
          <cell r="D576" t="str">
            <v>02</v>
          </cell>
          <cell r="E576" t="str">
            <v>522 54 00</v>
          </cell>
          <cell r="F576" t="str">
            <v>010</v>
          </cell>
        </row>
        <row r="577">
          <cell r="A577" t="str">
            <v>Приобретение услуг</v>
          </cell>
          <cell r="B577" t="str">
            <v>902</v>
          </cell>
          <cell r="C577" t="str">
            <v>05</v>
          </cell>
          <cell r="D577" t="str">
            <v>02</v>
          </cell>
          <cell r="E577" t="str">
            <v>522 54 00</v>
          </cell>
          <cell r="F577" t="str">
            <v>010</v>
          </cell>
        </row>
        <row r="578">
          <cell r="A578" t="str">
            <v>Услуги по содержанию иммущества</v>
          </cell>
          <cell r="B578" t="str">
            <v>902</v>
          </cell>
          <cell r="C578" t="str">
            <v>05</v>
          </cell>
          <cell r="D578" t="str">
            <v>02</v>
          </cell>
          <cell r="E578" t="str">
            <v>522 54 00</v>
          </cell>
          <cell r="F578" t="str">
            <v>010</v>
          </cell>
        </row>
        <row r="579">
          <cell r="A579" t="str">
            <v>Услуги по содержанию имущества </v>
          </cell>
          <cell r="B579" t="str">
            <v>902</v>
          </cell>
          <cell r="C579" t="str">
            <v>05</v>
          </cell>
          <cell r="D579" t="str">
            <v>02</v>
          </cell>
          <cell r="E579" t="str">
            <v>522 54 00</v>
          </cell>
          <cell r="F579" t="str">
            <v>010</v>
          </cell>
        </row>
        <row r="580">
          <cell r="A580" t="str">
            <v>Поступление нефинансовых активов</v>
          </cell>
          <cell r="B580" t="str">
            <v>902</v>
          </cell>
          <cell r="C580" t="str">
            <v>05</v>
          </cell>
          <cell r="D580" t="str">
            <v>02</v>
          </cell>
          <cell r="E580" t="str">
            <v>522 54 00</v>
          </cell>
          <cell r="F580" t="str">
            <v>010</v>
          </cell>
        </row>
        <row r="581">
          <cell r="A581" t="str">
            <v>Увеличение стоимости основных средств</v>
          </cell>
          <cell r="B581" t="str">
            <v>902</v>
          </cell>
          <cell r="C581" t="str">
            <v>05</v>
          </cell>
          <cell r="D581" t="str">
            <v>02</v>
          </cell>
          <cell r="E581" t="str">
            <v>522 54 00</v>
          </cell>
          <cell r="F581" t="str">
            <v>010</v>
          </cell>
        </row>
        <row r="582">
          <cell r="A582" t="str">
            <v>Увеличение стоимости материальных запасов</v>
          </cell>
          <cell r="B582" t="str">
            <v>902</v>
          </cell>
          <cell r="C582" t="str">
            <v>05</v>
          </cell>
          <cell r="D582" t="str">
            <v>02</v>
          </cell>
          <cell r="E582" t="str">
            <v>522 54 00</v>
          </cell>
          <cell r="F582" t="str">
            <v>010</v>
          </cell>
        </row>
        <row r="585">
          <cell r="A585" t="str">
            <v>Целевые программы муниципальных образований </v>
          </cell>
          <cell r="B585" t="str">
            <v>902</v>
          </cell>
          <cell r="C585" t="str">
            <v>05</v>
          </cell>
          <cell r="D585" t="str">
            <v>02</v>
          </cell>
          <cell r="E585" t="str">
            <v>795 00 00</v>
          </cell>
          <cell r="F585" t="str">
            <v>000 </v>
          </cell>
        </row>
        <row r="586">
          <cell r="A586" t="str">
            <v>Выполнение функций органами местного самоуправления</v>
          </cell>
          <cell r="B586" t="str">
            <v>902</v>
          </cell>
          <cell r="C586" t="str">
            <v>05</v>
          </cell>
          <cell r="D586" t="str">
            <v>02</v>
          </cell>
          <cell r="E586" t="str">
            <v>795 00 00</v>
          </cell>
          <cell r="F586" t="str">
            <v>500</v>
          </cell>
        </row>
        <row r="587">
          <cell r="A587" t="str">
            <v>"Энергосбережение и повышение энергетической эффективности на 2010-2015 г"</v>
          </cell>
          <cell r="B587" t="str">
            <v>902</v>
          </cell>
          <cell r="C587" t="str">
            <v>05</v>
          </cell>
          <cell r="D587" t="str">
            <v>02</v>
          </cell>
          <cell r="E587" t="str">
            <v>795 25 00</v>
          </cell>
          <cell r="F587" t="str">
            <v>000</v>
          </cell>
        </row>
        <row r="588">
          <cell r="B588" t="str">
            <v>902</v>
          </cell>
          <cell r="C588" t="str">
            <v>05</v>
          </cell>
          <cell r="D588" t="str">
            <v>02</v>
          </cell>
          <cell r="E588" t="str">
            <v>795 25 00</v>
          </cell>
          <cell r="F588" t="str">
            <v>500</v>
          </cell>
        </row>
        <row r="589">
          <cell r="A589" t="str">
            <v>Услуги по содержанию имущества </v>
          </cell>
          <cell r="B589" t="str">
            <v>902</v>
          </cell>
          <cell r="C589" t="str">
            <v>05</v>
          </cell>
          <cell r="D589" t="str">
            <v>02</v>
          </cell>
          <cell r="E589" t="str">
            <v>795 25 00</v>
          </cell>
          <cell r="F589" t="str">
            <v>500</v>
          </cell>
        </row>
        <row r="590">
          <cell r="A590" t="str">
            <v>Услуги по содержанию имущества </v>
          </cell>
          <cell r="B590" t="str">
            <v>903</v>
          </cell>
          <cell r="C590" t="str">
            <v>05</v>
          </cell>
          <cell r="D590" t="str">
            <v>02</v>
          </cell>
          <cell r="E590" t="str">
            <v>795 25 00</v>
          </cell>
          <cell r="F590" t="str">
            <v>500</v>
          </cell>
        </row>
        <row r="591">
          <cell r="A591" t="str">
            <v>Услуги по содержанию имущества </v>
          </cell>
          <cell r="B591" t="str">
            <v>904</v>
          </cell>
          <cell r="C591" t="str">
            <v>05</v>
          </cell>
          <cell r="D591" t="str">
            <v>02</v>
          </cell>
          <cell r="E591" t="str">
            <v>795 25 00</v>
          </cell>
          <cell r="F591" t="str">
            <v>500</v>
          </cell>
        </row>
        <row r="592">
          <cell r="B592" t="str">
            <v>905</v>
          </cell>
          <cell r="C592" t="str">
            <v>05</v>
          </cell>
          <cell r="D592" t="str">
            <v>02</v>
          </cell>
          <cell r="E592" t="str">
            <v>795 25 00</v>
          </cell>
          <cell r="F592" t="str">
            <v>500</v>
          </cell>
        </row>
        <row r="593">
          <cell r="B593" t="str">
            <v>905</v>
          </cell>
          <cell r="C593" t="str">
            <v>05</v>
          </cell>
          <cell r="D593" t="str">
            <v>02</v>
          </cell>
          <cell r="E593" t="str">
            <v>795 25 00</v>
          </cell>
          <cell r="F593" t="str">
            <v>500</v>
          </cell>
        </row>
        <row r="594">
          <cell r="A594" t="str">
            <v>Прочие услуги</v>
          </cell>
          <cell r="B594" t="str">
            <v>902</v>
          </cell>
          <cell r="C594" t="str">
            <v>05</v>
          </cell>
          <cell r="D594" t="str">
            <v>02</v>
          </cell>
          <cell r="E594" t="str">
            <v>795 26 00</v>
          </cell>
          <cell r="F594" t="str">
            <v>500</v>
          </cell>
        </row>
        <row r="595">
          <cell r="A595" t="str">
            <v>Услуги по содержанию имущества </v>
          </cell>
          <cell r="B595" t="str">
            <v>902</v>
          </cell>
          <cell r="C595" t="str">
            <v>05</v>
          </cell>
          <cell r="D595" t="str">
            <v>02</v>
          </cell>
          <cell r="E595" t="str">
            <v>795 00 00</v>
          </cell>
          <cell r="F595" t="str">
            <v>500</v>
          </cell>
        </row>
        <row r="596">
          <cell r="A596" t="str">
            <v>Услуги по содержанию имущества </v>
          </cell>
          <cell r="B596" t="str">
            <v>902</v>
          </cell>
          <cell r="C596" t="str">
            <v>05</v>
          </cell>
          <cell r="D596" t="str">
            <v>02</v>
          </cell>
          <cell r="E596" t="str">
            <v>795 00 00</v>
          </cell>
          <cell r="F596" t="str">
            <v>500</v>
          </cell>
        </row>
        <row r="597">
          <cell r="A597" t="str">
            <v>Прочие расходы </v>
          </cell>
          <cell r="B597" t="str">
            <v>902</v>
          </cell>
          <cell r="C597" t="str">
            <v>05</v>
          </cell>
          <cell r="D597" t="str">
            <v>02</v>
          </cell>
          <cell r="E597" t="str">
            <v>795 00 00</v>
          </cell>
          <cell r="F597" t="str">
            <v>500</v>
          </cell>
        </row>
        <row r="598">
          <cell r="A598" t="str">
            <v>Прочие расходы </v>
          </cell>
          <cell r="B598" t="str">
            <v>902</v>
          </cell>
          <cell r="C598" t="str">
            <v>05</v>
          </cell>
          <cell r="D598" t="str">
            <v>02</v>
          </cell>
          <cell r="E598" t="str">
            <v>79500 00</v>
          </cell>
          <cell r="F598" t="str">
            <v>500</v>
          </cell>
        </row>
        <row r="599">
          <cell r="A599" t="str">
            <v>Поступление нефинансовых активов</v>
          </cell>
          <cell r="B599" t="str">
            <v>902</v>
          </cell>
          <cell r="C599" t="str">
            <v>05</v>
          </cell>
          <cell r="D599" t="str">
            <v>02</v>
          </cell>
          <cell r="E599" t="str">
            <v>795 00 00</v>
          </cell>
          <cell r="F599" t="str">
            <v>500</v>
          </cell>
        </row>
        <row r="600">
          <cell r="A600" t="str">
            <v>Увеличение стоимости основных средств</v>
          </cell>
          <cell r="B600" t="str">
            <v>902</v>
          </cell>
          <cell r="C600" t="str">
            <v>05</v>
          </cell>
          <cell r="D600" t="str">
            <v>02</v>
          </cell>
          <cell r="E600" t="str">
            <v>795 00 00</v>
          </cell>
          <cell r="F600" t="str">
            <v>500</v>
          </cell>
        </row>
        <row r="601">
          <cell r="A601" t="str">
            <v>Жилищно- коммунальное хозяйство </v>
          </cell>
          <cell r="C601" t="str">
            <v>05</v>
          </cell>
          <cell r="D601" t="str">
            <v>00</v>
          </cell>
          <cell r="E601" t="str">
            <v>000 00 00</v>
          </cell>
          <cell r="F601" t="str">
            <v>000</v>
          </cell>
        </row>
        <row r="602">
          <cell r="A602" t="str">
            <v>Расходы</v>
          </cell>
          <cell r="C602" t="str">
            <v>05</v>
          </cell>
          <cell r="D602" t="str">
            <v>00</v>
          </cell>
          <cell r="E602" t="str">
            <v>000 00 00</v>
          </cell>
          <cell r="F602" t="str">
            <v>000</v>
          </cell>
        </row>
        <row r="603">
          <cell r="A603" t="str">
            <v>Оплата труда и начисления на оплату труда</v>
          </cell>
          <cell r="C603" t="str">
            <v>05</v>
          </cell>
          <cell r="D603" t="str">
            <v>00</v>
          </cell>
          <cell r="E603" t="str">
            <v>000 00 00</v>
          </cell>
          <cell r="F603" t="str">
            <v>000</v>
          </cell>
        </row>
        <row r="604">
          <cell r="A604" t="str">
            <v>Заработная плата</v>
          </cell>
          <cell r="C604" t="str">
            <v>05</v>
          </cell>
          <cell r="D604" t="str">
            <v>00</v>
          </cell>
          <cell r="E604" t="str">
            <v>000 00 00</v>
          </cell>
          <cell r="F604" t="str">
            <v>000</v>
          </cell>
        </row>
        <row r="605">
          <cell r="A605" t="str">
            <v>Прочие выплаты</v>
          </cell>
          <cell r="C605" t="str">
            <v>05</v>
          </cell>
          <cell r="D605" t="str">
            <v>00</v>
          </cell>
          <cell r="E605" t="str">
            <v>000 00 00</v>
          </cell>
          <cell r="F605" t="str">
            <v>000</v>
          </cell>
        </row>
        <row r="606">
          <cell r="A606" t="str">
            <v>Начисление на оплату труда</v>
          </cell>
          <cell r="C606" t="str">
            <v>05</v>
          </cell>
          <cell r="D606" t="str">
            <v>00</v>
          </cell>
          <cell r="E606" t="str">
            <v>000 00 00</v>
          </cell>
          <cell r="F606" t="str">
            <v>000</v>
          </cell>
        </row>
        <row r="607">
          <cell r="A607" t="str">
            <v>Приобретение услуг</v>
          </cell>
          <cell r="C607" t="str">
            <v>05</v>
          </cell>
          <cell r="D607" t="str">
            <v>00</v>
          </cell>
          <cell r="E607" t="str">
            <v>000 00 00</v>
          </cell>
          <cell r="F607" t="str">
            <v>000</v>
          </cell>
        </row>
        <row r="608">
          <cell r="A608" t="str">
            <v>Услуги связи </v>
          </cell>
          <cell r="C608" t="str">
            <v>05</v>
          </cell>
          <cell r="D608" t="str">
            <v>00</v>
          </cell>
          <cell r="E608" t="str">
            <v>000 00 00</v>
          </cell>
          <cell r="F608" t="str">
            <v>000</v>
          </cell>
        </row>
        <row r="609">
          <cell r="A609" t="str">
            <v>Транспортные услуги</v>
          </cell>
          <cell r="C609" t="str">
            <v>05</v>
          </cell>
          <cell r="D609" t="str">
            <v>00</v>
          </cell>
          <cell r="E609" t="str">
            <v>000 00 00</v>
          </cell>
          <cell r="F609" t="str">
            <v>000</v>
          </cell>
        </row>
        <row r="610">
          <cell r="A610" t="str">
            <v>Коммунальные услуги</v>
          </cell>
          <cell r="C610" t="str">
            <v>05</v>
          </cell>
          <cell r="D610" t="str">
            <v>00</v>
          </cell>
          <cell r="E610" t="str">
            <v>000 00 00</v>
          </cell>
          <cell r="F610" t="str">
            <v>000</v>
          </cell>
        </row>
        <row r="611">
          <cell r="A611" t="str">
            <v>Арендная плата за пользование иммуществом </v>
          </cell>
          <cell r="C611" t="str">
            <v>05</v>
          </cell>
          <cell r="D611" t="str">
            <v>00</v>
          </cell>
          <cell r="E611" t="str">
            <v>000 00 00</v>
          </cell>
          <cell r="F611" t="str">
            <v>000</v>
          </cell>
        </row>
        <row r="612">
          <cell r="A612" t="str">
            <v>Услуги по содержанию иммущества</v>
          </cell>
          <cell r="C612" t="str">
            <v>05</v>
          </cell>
          <cell r="D612" t="str">
            <v>00</v>
          </cell>
          <cell r="E612" t="str">
            <v>000 00 00</v>
          </cell>
          <cell r="F612" t="str">
            <v>000</v>
          </cell>
        </row>
        <row r="613">
          <cell r="A613" t="str">
            <v>Прочие услуги</v>
          </cell>
          <cell r="C613" t="str">
            <v>05</v>
          </cell>
          <cell r="D613" t="str">
            <v>00</v>
          </cell>
          <cell r="E613" t="str">
            <v>000 00 00</v>
          </cell>
          <cell r="F613" t="str">
            <v>000</v>
          </cell>
        </row>
        <row r="614">
          <cell r="A614" t="str">
            <v>Безвозмездные и безвозвратные перечисления  организациям </v>
          </cell>
          <cell r="C614" t="str">
            <v>05</v>
          </cell>
          <cell r="D614" t="str">
            <v>00</v>
          </cell>
          <cell r="E614" t="str">
            <v>000 00 00</v>
          </cell>
          <cell r="F614" t="str">
            <v>000</v>
          </cell>
        </row>
        <row r="615">
          <cell r="A615" t="str">
            <v>Безвозмездные и безвозвратные перечисления организациям, за исключением государственных и муниципальных организаций</v>
          </cell>
          <cell r="C615" t="str">
            <v>05</v>
          </cell>
          <cell r="D615" t="str">
            <v>00</v>
          </cell>
          <cell r="E615" t="str">
            <v>000 00 00</v>
          </cell>
          <cell r="F615" t="str">
            <v>000</v>
          </cell>
        </row>
        <row r="616">
          <cell r="A616" t="str">
            <v>Прочие расходы</v>
          </cell>
          <cell r="C616" t="str">
            <v>05</v>
          </cell>
          <cell r="D616" t="str">
            <v>00</v>
          </cell>
          <cell r="E616" t="str">
            <v>000 00 00</v>
          </cell>
          <cell r="F616" t="str">
            <v>000</v>
          </cell>
        </row>
        <row r="617">
          <cell r="A617" t="str">
            <v>Поступление нефинансовых активов</v>
          </cell>
          <cell r="C617" t="str">
            <v>05</v>
          </cell>
          <cell r="D617" t="str">
            <v>00</v>
          </cell>
          <cell r="E617" t="str">
            <v>000 00 00</v>
          </cell>
          <cell r="F617" t="str">
            <v>000</v>
          </cell>
        </row>
        <row r="618">
          <cell r="A618" t="str">
            <v>Увеличение стоимости основных средств</v>
          </cell>
          <cell r="C618" t="str">
            <v>05</v>
          </cell>
          <cell r="D618" t="str">
            <v>00</v>
          </cell>
          <cell r="E618" t="str">
            <v>000 00 00</v>
          </cell>
          <cell r="F618" t="str">
            <v>000</v>
          </cell>
        </row>
        <row r="619">
          <cell r="A619" t="str">
            <v>Увеличение стоимости материальных запасов</v>
          </cell>
          <cell r="C619" t="str">
            <v>05</v>
          </cell>
          <cell r="D619" t="str">
            <v>00</v>
          </cell>
          <cell r="E619" t="str">
            <v>000 00 00</v>
          </cell>
          <cell r="F619" t="str">
            <v>000</v>
          </cell>
        </row>
        <row r="620">
          <cell r="A620" t="str">
            <v>ИТОГО:</v>
          </cell>
          <cell r="C620" t="str">
            <v>05</v>
          </cell>
          <cell r="D620" t="str">
            <v>00</v>
          </cell>
          <cell r="E620" t="str">
            <v>000 00 00</v>
          </cell>
          <cell r="F620" t="str">
            <v>000</v>
          </cell>
        </row>
        <row r="621">
          <cell r="A621" t="str">
            <v>Выполнение функций органами местного самоуправления</v>
          </cell>
          <cell r="B621" t="str">
            <v>902</v>
          </cell>
          <cell r="C621" t="str">
            <v>05</v>
          </cell>
          <cell r="D621" t="str">
            <v>02</v>
          </cell>
          <cell r="E621" t="str">
            <v>795 25 00</v>
          </cell>
          <cell r="F621" t="str">
            <v>500</v>
          </cell>
        </row>
        <row r="622">
          <cell r="A622" t="str">
            <v>Выполнение функций органами местного самоуправления</v>
          </cell>
          <cell r="B622" t="str">
            <v>903</v>
          </cell>
          <cell r="C622" t="str">
            <v>05</v>
          </cell>
          <cell r="D622" t="str">
            <v>02</v>
          </cell>
          <cell r="E622" t="str">
            <v>795 25 00</v>
          </cell>
          <cell r="F622" t="str">
            <v>500</v>
          </cell>
        </row>
        <row r="623">
          <cell r="A623" t="str">
            <v>"Модернизация объектов  коммунальной инфраструктуры"</v>
          </cell>
          <cell r="B623" t="str">
            <v>902</v>
          </cell>
          <cell r="C623" t="str">
            <v>05</v>
          </cell>
          <cell r="D623" t="str">
            <v>02</v>
          </cell>
          <cell r="E623" t="str">
            <v>795 26  00</v>
          </cell>
          <cell r="F623" t="str">
            <v>000</v>
          </cell>
        </row>
        <row r="624">
          <cell r="A624" t="str">
            <v>Выполнение функций органами местного самоуправления</v>
          </cell>
          <cell r="B624" t="str">
            <v>902</v>
          </cell>
          <cell r="C624" t="str">
            <v>05</v>
          </cell>
          <cell r="D624" t="str">
            <v>02</v>
          </cell>
          <cell r="E624" t="str">
            <v>795 26  00</v>
          </cell>
          <cell r="F624" t="str">
            <v>500</v>
          </cell>
        </row>
        <row r="625">
          <cell r="A625" t="str">
            <v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v>
          </cell>
          <cell r="B625" t="str">
            <v>902</v>
          </cell>
          <cell r="C625" t="str">
            <v>05</v>
          </cell>
          <cell r="D625" t="str">
            <v>02</v>
          </cell>
          <cell r="E625" t="str">
            <v>522 54 00</v>
          </cell>
          <cell r="F625" t="str">
            <v>000</v>
          </cell>
        </row>
        <row r="626">
          <cell r="A626" t="str">
            <v>Фонд софинансирования</v>
          </cell>
          <cell r="B626" t="str">
            <v>902</v>
          </cell>
          <cell r="C626" t="str">
            <v>05</v>
          </cell>
          <cell r="D626" t="str">
            <v>02</v>
          </cell>
          <cell r="E626" t="str">
            <v>522 54 00</v>
          </cell>
          <cell r="F626" t="str">
            <v>010</v>
          </cell>
        </row>
        <row r="627">
          <cell r="A627" t="str">
            <v>Образование</v>
          </cell>
          <cell r="C627" t="str">
            <v>07</v>
          </cell>
          <cell r="D627" t="str">
            <v>00</v>
          </cell>
          <cell r="E627" t="str">
            <v>000 00 00 </v>
          </cell>
          <cell r="F627" t="str">
            <v>000</v>
          </cell>
        </row>
        <row r="628">
          <cell r="A628" t="str">
            <v>Дошкольное образование</v>
          </cell>
          <cell r="B628" t="str">
            <v>903</v>
          </cell>
          <cell r="C628" t="str">
            <v>07</v>
          </cell>
          <cell r="D628" t="str">
            <v>01</v>
          </cell>
          <cell r="E628" t="str">
            <v>000 00 00</v>
          </cell>
          <cell r="F628" t="str">
            <v>000</v>
          </cell>
        </row>
        <row r="629">
          <cell r="A629" t="str">
            <v>Детские дошкольные учреждения</v>
          </cell>
          <cell r="B629" t="str">
            <v>903</v>
          </cell>
          <cell r="C629" t="str">
            <v>07</v>
          </cell>
          <cell r="D629" t="str">
            <v>01</v>
          </cell>
          <cell r="E629" t="str">
            <v>420 00 00</v>
          </cell>
          <cell r="F629" t="str">
            <v>000</v>
          </cell>
        </row>
        <row r="630">
          <cell r="A630" t="str">
            <v>Обеспечение деятельности подведомственных учреждений</v>
          </cell>
          <cell r="B630" t="str">
            <v>903</v>
          </cell>
          <cell r="C630" t="str">
            <v>07</v>
          </cell>
          <cell r="D630" t="str">
            <v>01</v>
          </cell>
          <cell r="E630" t="str">
            <v>420 99 00</v>
          </cell>
          <cell r="F630" t="str">
            <v>000</v>
          </cell>
        </row>
        <row r="631">
          <cell r="A631" t="str">
            <v>Выполнение функций бюджетными учреждениями</v>
          </cell>
          <cell r="B631" t="str">
            <v>903</v>
          </cell>
          <cell r="C631" t="str">
            <v>07</v>
          </cell>
          <cell r="D631" t="str">
            <v>01</v>
          </cell>
          <cell r="E631" t="str">
            <v>420 99 00</v>
          </cell>
          <cell r="F631" t="str">
            <v>001</v>
          </cell>
        </row>
        <row r="632">
          <cell r="A632" t="str">
            <v>Расходы</v>
          </cell>
          <cell r="B632" t="str">
            <v>903</v>
          </cell>
          <cell r="C632" t="str">
            <v>07</v>
          </cell>
          <cell r="D632" t="str">
            <v>01</v>
          </cell>
          <cell r="E632" t="str">
            <v>420 99 00</v>
          </cell>
          <cell r="F632" t="str">
            <v>001</v>
          </cell>
        </row>
        <row r="633">
          <cell r="A633" t="str">
            <v>Оплата труда и начисления на оплату труда</v>
          </cell>
          <cell r="B633" t="str">
            <v>903</v>
          </cell>
          <cell r="C633" t="str">
            <v>07</v>
          </cell>
          <cell r="D633" t="str">
            <v>01</v>
          </cell>
          <cell r="E633" t="str">
            <v>420 99 00</v>
          </cell>
          <cell r="F633" t="str">
            <v>001</v>
          </cell>
        </row>
        <row r="634">
          <cell r="A634" t="str">
            <v>Заработная плата</v>
          </cell>
          <cell r="B634" t="str">
            <v>903</v>
          </cell>
          <cell r="C634" t="str">
            <v>07</v>
          </cell>
          <cell r="D634" t="str">
            <v>01</v>
          </cell>
          <cell r="E634" t="str">
            <v>420 99 00</v>
          </cell>
          <cell r="F634" t="str">
            <v>001</v>
          </cell>
        </row>
        <row r="635">
          <cell r="A635" t="str">
            <v>Прочие выплаты</v>
          </cell>
          <cell r="B635" t="str">
            <v>903</v>
          </cell>
          <cell r="C635" t="str">
            <v>07</v>
          </cell>
          <cell r="D635" t="str">
            <v>01</v>
          </cell>
          <cell r="E635" t="str">
            <v>420 99 00</v>
          </cell>
          <cell r="F635" t="str">
            <v>001</v>
          </cell>
        </row>
        <row r="636">
          <cell r="A636" t="str">
            <v>льготы  пед работникам 8.01.10.00</v>
          </cell>
          <cell r="B636" t="str">
            <v>903</v>
          </cell>
          <cell r="C636" t="str">
            <v>07</v>
          </cell>
          <cell r="D636" t="str">
            <v>01</v>
          </cell>
          <cell r="E636" t="str">
            <v>420 99 00</v>
          </cell>
          <cell r="F636" t="str">
            <v>001</v>
          </cell>
        </row>
        <row r="637">
          <cell r="A637" t="str">
            <v>Начисление на оплату труда</v>
          </cell>
          <cell r="B637" t="str">
            <v>903</v>
          </cell>
          <cell r="C637" t="str">
            <v>07</v>
          </cell>
          <cell r="D637" t="str">
            <v>01</v>
          </cell>
          <cell r="E637" t="str">
            <v>420 99 00</v>
          </cell>
          <cell r="F637" t="str">
            <v>001</v>
          </cell>
        </row>
        <row r="638">
          <cell r="A638" t="str">
            <v>Приобретение услуг</v>
          </cell>
          <cell r="B638" t="str">
            <v>903</v>
          </cell>
          <cell r="C638" t="str">
            <v>07</v>
          </cell>
          <cell r="D638" t="str">
            <v>01</v>
          </cell>
          <cell r="E638" t="str">
            <v>420 99 00</v>
          </cell>
          <cell r="F638" t="str">
            <v>001</v>
          </cell>
        </row>
        <row r="639">
          <cell r="A639" t="str">
            <v>Услуги связи </v>
          </cell>
          <cell r="B639" t="str">
            <v>903</v>
          </cell>
          <cell r="C639" t="str">
            <v>07</v>
          </cell>
          <cell r="D639" t="str">
            <v>01</v>
          </cell>
          <cell r="E639" t="str">
            <v>420 99 00</v>
          </cell>
          <cell r="F639" t="str">
            <v>001</v>
          </cell>
        </row>
        <row r="640">
          <cell r="A640" t="str">
            <v>Транспортные услуги</v>
          </cell>
          <cell r="B640" t="str">
            <v>903</v>
          </cell>
          <cell r="C640" t="str">
            <v>07</v>
          </cell>
          <cell r="D640" t="str">
            <v>01</v>
          </cell>
          <cell r="E640" t="str">
            <v>420 99 00</v>
          </cell>
          <cell r="F640" t="str">
            <v>001</v>
          </cell>
        </row>
        <row r="641">
          <cell r="A641" t="str">
            <v>Коммунальные услуги</v>
          </cell>
          <cell r="B641" t="str">
            <v>903</v>
          </cell>
          <cell r="C641" t="str">
            <v>07</v>
          </cell>
          <cell r="D641" t="str">
            <v>01</v>
          </cell>
          <cell r="E641" t="str">
            <v>420 99 00</v>
          </cell>
          <cell r="F641" t="str">
            <v>001</v>
          </cell>
        </row>
        <row r="642">
          <cell r="A642" t="str">
            <v>Арендная плата за пользование иммуществом </v>
          </cell>
          <cell r="B642" t="str">
            <v>903</v>
          </cell>
          <cell r="C642" t="str">
            <v>07</v>
          </cell>
          <cell r="D642" t="str">
            <v>01</v>
          </cell>
          <cell r="E642" t="str">
            <v>420 99 00</v>
          </cell>
          <cell r="F642" t="str">
            <v>001</v>
          </cell>
        </row>
        <row r="643">
          <cell r="A643" t="str">
            <v>Услуги по содержанию иммущества</v>
          </cell>
          <cell r="B643" t="str">
            <v>903</v>
          </cell>
          <cell r="C643" t="str">
            <v>07</v>
          </cell>
          <cell r="D643" t="str">
            <v>01</v>
          </cell>
          <cell r="E643" t="str">
            <v>420 99 00</v>
          </cell>
          <cell r="F643" t="str">
            <v>001</v>
          </cell>
        </row>
        <row r="644">
          <cell r="A644" t="str">
            <v>Услуги по содержанию иммущества 8.40.00</v>
          </cell>
          <cell r="B644" t="str">
            <v>903</v>
          </cell>
          <cell r="C644" t="str">
            <v>07</v>
          </cell>
          <cell r="D644" t="str">
            <v>01</v>
          </cell>
          <cell r="E644" t="str">
            <v>420 99 00</v>
          </cell>
          <cell r="F644" t="str">
            <v>001</v>
          </cell>
        </row>
        <row r="645">
          <cell r="A645" t="str">
            <v>Услуги по содержанию иммущества 8.40.01</v>
          </cell>
          <cell r="B645" t="str">
            <v>903</v>
          </cell>
          <cell r="C645" t="str">
            <v>07</v>
          </cell>
          <cell r="D645" t="str">
            <v>01</v>
          </cell>
          <cell r="E645" t="str">
            <v>420 99 00</v>
          </cell>
          <cell r="F645" t="str">
            <v>001</v>
          </cell>
        </row>
        <row r="646">
          <cell r="A646" t="str">
            <v>8,40,02</v>
          </cell>
          <cell r="B646" t="str">
            <v>903</v>
          </cell>
          <cell r="C646" t="str">
            <v>07</v>
          </cell>
          <cell r="D646" t="str">
            <v>01</v>
          </cell>
          <cell r="E646" t="str">
            <v>420 99 00</v>
          </cell>
          <cell r="F646" t="str">
            <v>001</v>
          </cell>
        </row>
        <row r="647">
          <cell r="A647" t="str">
            <v>Услуги по содержанию иммущества   8.40.01 Кап ремонты</v>
          </cell>
          <cell r="B647" t="str">
            <v>903</v>
          </cell>
          <cell r="C647" t="str">
            <v>07</v>
          </cell>
          <cell r="D647" t="str">
            <v>01</v>
          </cell>
          <cell r="E647" t="str">
            <v>420 99 00</v>
          </cell>
          <cell r="F647" t="str">
            <v>001</v>
          </cell>
        </row>
        <row r="648">
          <cell r="A648" t="str">
            <v>Услуги по содержанию иммущества   8.40.02 Кап ремонты</v>
          </cell>
          <cell r="B648" t="str">
            <v>903</v>
          </cell>
          <cell r="C648" t="str">
            <v>07</v>
          </cell>
          <cell r="D648" t="str">
            <v>01</v>
          </cell>
          <cell r="E648" t="str">
            <v>420 99 00</v>
          </cell>
          <cell r="F648" t="str">
            <v>001</v>
          </cell>
        </row>
        <row r="649">
          <cell r="A649" t="str">
            <v>Прочие услуги</v>
          </cell>
          <cell r="B649" t="str">
            <v>903</v>
          </cell>
          <cell r="C649" t="str">
            <v>07</v>
          </cell>
          <cell r="D649" t="str">
            <v>01</v>
          </cell>
          <cell r="E649" t="str">
            <v>420 99 00</v>
          </cell>
          <cell r="F649" t="str">
            <v>001</v>
          </cell>
        </row>
        <row r="650">
          <cell r="A650" t="str">
            <v>Социальное обеспечение</v>
          </cell>
          <cell r="B650" t="str">
            <v>903</v>
          </cell>
          <cell r="C650" t="str">
            <v>07</v>
          </cell>
          <cell r="D650" t="str">
            <v>01</v>
          </cell>
          <cell r="E650" t="str">
            <v>420 99 00</v>
          </cell>
          <cell r="F650" t="str">
            <v>001</v>
          </cell>
        </row>
        <row r="651">
          <cell r="A651" t="str">
            <v>Пособия по социальной помощи населению</v>
          </cell>
          <cell r="B651" t="str">
            <v>903</v>
          </cell>
          <cell r="C651" t="str">
            <v>07</v>
          </cell>
          <cell r="D651" t="str">
            <v>01</v>
          </cell>
          <cell r="E651" t="str">
            <v>420 99 00</v>
          </cell>
          <cell r="F651" t="str">
            <v>001</v>
          </cell>
        </row>
        <row r="652">
          <cell r="A652" t="str">
            <v>Прочие расходы </v>
          </cell>
          <cell r="B652" t="str">
            <v>903</v>
          </cell>
          <cell r="C652" t="str">
            <v>07</v>
          </cell>
          <cell r="D652" t="str">
            <v>01</v>
          </cell>
          <cell r="E652" t="str">
            <v>420 99 00</v>
          </cell>
          <cell r="F652" t="str">
            <v>001</v>
          </cell>
        </row>
        <row r="653">
          <cell r="A653" t="str">
            <v>Поступление нефинансовых активов</v>
          </cell>
          <cell r="B653" t="str">
            <v>903</v>
          </cell>
          <cell r="C653" t="str">
            <v>07</v>
          </cell>
          <cell r="D653" t="str">
            <v>01</v>
          </cell>
          <cell r="E653" t="str">
            <v>420 99 00</v>
          </cell>
          <cell r="F653" t="str">
            <v>001</v>
          </cell>
        </row>
        <row r="654">
          <cell r="A654" t="str">
            <v>Увеличение стоимости основных средств</v>
          </cell>
          <cell r="B654" t="str">
            <v>903</v>
          </cell>
          <cell r="C654" t="str">
            <v>07</v>
          </cell>
          <cell r="D654" t="str">
            <v>01</v>
          </cell>
          <cell r="E654" t="str">
            <v>420 99 00</v>
          </cell>
          <cell r="F654" t="str">
            <v>001</v>
          </cell>
        </row>
        <row r="655">
          <cell r="A655" t="str">
            <v>8,40,02</v>
          </cell>
          <cell r="B655" t="str">
            <v>903</v>
          </cell>
          <cell r="C655" t="str">
            <v>07</v>
          </cell>
          <cell r="D655" t="str">
            <v>01</v>
          </cell>
          <cell r="E655" t="str">
            <v>420 99 00</v>
          </cell>
          <cell r="F655" t="str">
            <v>001</v>
          </cell>
        </row>
        <row r="656">
          <cell r="A656" t="str">
            <v>Увеличение стоимости материальных запасов</v>
          </cell>
          <cell r="B656" t="str">
            <v>903</v>
          </cell>
          <cell r="C656" t="str">
            <v>07</v>
          </cell>
          <cell r="D656" t="str">
            <v>01</v>
          </cell>
          <cell r="E656" t="str">
            <v>420 99 00</v>
          </cell>
          <cell r="F656" t="str">
            <v>001</v>
          </cell>
        </row>
        <row r="657">
          <cell r="A657" t="str">
            <v>8,40,02</v>
          </cell>
          <cell r="B657" t="str">
            <v>903</v>
          </cell>
          <cell r="C657" t="str">
            <v>07</v>
          </cell>
          <cell r="D657" t="str">
            <v>01</v>
          </cell>
          <cell r="E657" t="str">
            <v>420 99 00</v>
          </cell>
          <cell r="F657" t="str">
            <v>001</v>
          </cell>
        </row>
        <row r="658">
          <cell r="A658" t="str">
            <v>Субсидии некоммерческим организациям</v>
          </cell>
          <cell r="B658" t="str">
            <v>903</v>
          </cell>
          <cell r="C658" t="str">
            <v>07</v>
          </cell>
          <cell r="D658" t="str">
            <v>01</v>
          </cell>
          <cell r="E658" t="str">
            <v>420 99 00</v>
          </cell>
          <cell r="F658" t="str">
            <v>019</v>
          </cell>
        </row>
        <row r="659">
          <cell r="A659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B659" t="str">
            <v>903</v>
          </cell>
          <cell r="C659" t="str">
            <v>07</v>
          </cell>
          <cell r="D659" t="str">
            <v>01</v>
          </cell>
          <cell r="E659" t="str">
            <v>589 00 00</v>
          </cell>
          <cell r="F659" t="str">
            <v>000</v>
          </cell>
        </row>
        <row r="660">
          <cell r="A660" t="str">
            <v>Выполнение функций бюджетными учреждениями</v>
          </cell>
          <cell r="B660" t="str">
            <v>903</v>
          </cell>
          <cell r="C660" t="str">
            <v>07</v>
          </cell>
          <cell r="D660" t="str">
            <v>01</v>
          </cell>
          <cell r="E660" t="str">
            <v>589 00 00</v>
          </cell>
          <cell r="F660" t="str">
            <v>001</v>
          </cell>
        </row>
        <row r="661">
          <cell r="A661" t="str">
            <v>Субсидии некоммерческим организациям</v>
          </cell>
          <cell r="B661" t="str">
            <v>903</v>
          </cell>
          <cell r="C661" t="str">
            <v>07</v>
          </cell>
          <cell r="D661" t="str">
            <v>01</v>
          </cell>
          <cell r="E661" t="str">
            <v>589 00 00</v>
          </cell>
          <cell r="F661" t="str">
            <v>019</v>
          </cell>
        </row>
        <row r="662">
          <cell r="B662" t="str">
            <v>903</v>
          </cell>
          <cell r="C662" t="str">
            <v>07</v>
          </cell>
          <cell r="D662" t="str">
            <v>01</v>
          </cell>
          <cell r="E662" t="str">
            <v>589 00 00</v>
          </cell>
        </row>
        <row r="663">
          <cell r="B663" t="str">
            <v>903</v>
          </cell>
          <cell r="C663" t="str">
            <v>07</v>
          </cell>
          <cell r="D663" t="str">
            <v>01</v>
          </cell>
          <cell r="E663" t="str">
            <v>589 00 00</v>
          </cell>
        </row>
        <row r="664">
          <cell r="A664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664" t="str">
            <v>903</v>
          </cell>
          <cell r="C664" t="str">
            <v>07</v>
          </cell>
          <cell r="D664" t="str">
            <v>01</v>
          </cell>
          <cell r="E664" t="str">
            <v>590 00 00</v>
          </cell>
          <cell r="F664" t="str">
            <v>000</v>
          </cell>
        </row>
        <row r="665">
          <cell r="A665" t="str">
            <v>Выполнение функций бюджетными учреждениями</v>
          </cell>
          <cell r="B665" t="str">
            <v>903</v>
          </cell>
          <cell r="C665" t="str">
            <v>07</v>
          </cell>
          <cell r="D665" t="str">
            <v>01</v>
          </cell>
          <cell r="E665" t="str">
            <v>590 00 00</v>
          </cell>
          <cell r="F665" t="str">
            <v>001</v>
          </cell>
        </row>
        <row r="666">
          <cell r="A666" t="str">
            <v>Субсидии некоммерческим организациям</v>
          </cell>
          <cell r="B666" t="str">
            <v>903</v>
          </cell>
          <cell r="C666" t="str">
            <v>07</v>
          </cell>
          <cell r="D666" t="str">
            <v>01</v>
          </cell>
          <cell r="E666" t="str">
            <v>590 00 00</v>
          </cell>
          <cell r="F666" t="str">
            <v>019</v>
          </cell>
        </row>
        <row r="667">
          <cell r="A667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667" t="str">
            <v>903</v>
          </cell>
          <cell r="C667" t="str">
            <v>07</v>
          </cell>
          <cell r="D667" t="str">
            <v>01</v>
          </cell>
          <cell r="E667" t="str">
            <v>594 00 00</v>
          </cell>
          <cell r="F667" t="str">
            <v>000</v>
          </cell>
        </row>
        <row r="668">
          <cell r="A668" t="str">
            <v>Субсидии некоммерческим организациям</v>
          </cell>
          <cell r="B668" t="str">
            <v>903</v>
          </cell>
          <cell r="C668" t="str">
            <v>07</v>
          </cell>
          <cell r="D668" t="str">
            <v>01</v>
          </cell>
          <cell r="E668" t="str">
            <v>594 00 00</v>
          </cell>
          <cell r="F668" t="str">
            <v>019</v>
          </cell>
        </row>
        <row r="669">
          <cell r="A669" t="str">
            <v>Общее образование</v>
          </cell>
          <cell r="C669" t="str">
            <v>07</v>
          </cell>
          <cell r="D669" t="str">
            <v>02</v>
          </cell>
          <cell r="E669" t="str">
            <v>000 00 00</v>
          </cell>
          <cell r="F669" t="str">
            <v>000</v>
          </cell>
        </row>
        <row r="670">
          <cell r="A670" t="str">
            <v>Школы-детские сады, школы начальные, неполные средние и средние</v>
          </cell>
          <cell r="B670" t="str">
            <v>903</v>
          </cell>
          <cell r="C670" t="str">
            <v>07</v>
          </cell>
          <cell r="D670" t="str">
            <v>02</v>
          </cell>
          <cell r="E670" t="str">
            <v>421 00 00</v>
          </cell>
          <cell r="F670" t="str">
            <v>000</v>
          </cell>
        </row>
        <row r="671">
          <cell r="A671" t="str">
            <v>Обеспечение деятельности подведомственных учреждений</v>
          </cell>
          <cell r="B671" t="str">
            <v>903</v>
          </cell>
          <cell r="C671" t="str">
            <v>07</v>
          </cell>
          <cell r="D671" t="str">
            <v>02</v>
          </cell>
          <cell r="E671" t="str">
            <v>421 99 00</v>
          </cell>
          <cell r="F671" t="str">
            <v>000</v>
          </cell>
        </row>
        <row r="672">
          <cell r="A672" t="str">
            <v>Выполнение функций бюджетными учреждениями</v>
          </cell>
          <cell r="B672" t="str">
            <v>903</v>
          </cell>
          <cell r="C672" t="str">
            <v>07</v>
          </cell>
          <cell r="D672" t="str">
            <v>02</v>
          </cell>
          <cell r="E672" t="str">
            <v>421 99 00</v>
          </cell>
          <cell r="F672" t="str">
            <v>001</v>
          </cell>
        </row>
        <row r="673">
          <cell r="A673" t="str">
            <v>Расходы</v>
          </cell>
          <cell r="B673" t="str">
            <v>903</v>
          </cell>
          <cell r="C673" t="str">
            <v>07</v>
          </cell>
          <cell r="D673" t="str">
            <v>02</v>
          </cell>
          <cell r="E673" t="str">
            <v>421 99 00</v>
          </cell>
          <cell r="F673" t="str">
            <v>001</v>
          </cell>
        </row>
        <row r="674">
          <cell r="A674" t="str">
            <v>Оплата труда и начисления на оплату труда</v>
          </cell>
          <cell r="B674" t="str">
            <v>903</v>
          </cell>
          <cell r="C674" t="str">
            <v>07</v>
          </cell>
          <cell r="D674" t="str">
            <v>02</v>
          </cell>
          <cell r="E674" t="str">
            <v>421 99 00</v>
          </cell>
          <cell r="F674" t="str">
            <v>001</v>
          </cell>
        </row>
        <row r="675">
          <cell r="A675" t="str">
            <v>Заработная плата</v>
          </cell>
          <cell r="B675" t="str">
            <v>903</v>
          </cell>
          <cell r="C675" t="str">
            <v>07</v>
          </cell>
          <cell r="D675" t="str">
            <v>02</v>
          </cell>
          <cell r="E675" t="str">
            <v>421 99 00</v>
          </cell>
          <cell r="F675" t="str">
            <v>001</v>
          </cell>
        </row>
        <row r="676">
          <cell r="A676" t="str">
            <v>Заработная плата 8.08.00</v>
          </cell>
          <cell r="B676" t="str">
            <v>903</v>
          </cell>
          <cell r="C676" t="str">
            <v>07</v>
          </cell>
          <cell r="D676" t="str">
            <v>02</v>
          </cell>
          <cell r="E676" t="str">
            <v>421 99 00</v>
          </cell>
          <cell r="F676" t="str">
            <v>001</v>
          </cell>
        </row>
        <row r="677">
          <cell r="A677" t="str">
            <v>Прочие выплаты</v>
          </cell>
          <cell r="B677" t="str">
            <v>903</v>
          </cell>
          <cell r="C677" t="str">
            <v>07</v>
          </cell>
          <cell r="D677" t="str">
            <v>02</v>
          </cell>
          <cell r="E677" t="str">
            <v>421 99 00</v>
          </cell>
          <cell r="F677" t="str">
            <v>001</v>
          </cell>
        </row>
        <row r="678">
          <cell r="A678" t="str">
            <v>льготы  пед. работникам 8.01.10.00</v>
          </cell>
          <cell r="B678" t="str">
            <v>903</v>
          </cell>
          <cell r="C678" t="str">
            <v>07</v>
          </cell>
          <cell r="D678" t="str">
            <v>02</v>
          </cell>
          <cell r="E678" t="str">
            <v>421 99 00</v>
          </cell>
          <cell r="F678" t="str">
            <v>001</v>
          </cell>
        </row>
        <row r="679">
          <cell r="A679" t="str">
            <v>Начисление на оплату труда</v>
          </cell>
          <cell r="B679" t="str">
            <v>903</v>
          </cell>
          <cell r="C679" t="str">
            <v>07</v>
          </cell>
          <cell r="D679" t="str">
            <v>02</v>
          </cell>
          <cell r="E679" t="str">
            <v>421 99 00</v>
          </cell>
          <cell r="F679" t="str">
            <v>001</v>
          </cell>
        </row>
        <row r="680">
          <cell r="A680" t="str">
            <v>Начисление на оплату труда 8.08.00.00</v>
          </cell>
          <cell r="B680" t="str">
            <v>903</v>
          </cell>
          <cell r="C680" t="str">
            <v>07</v>
          </cell>
          <cell r="D680" t="str">
            <v>02</v>
          </cell>
          <cell r="E680" t="str">
            <v>421 99 00</v>
          </cell>
          <cell r="F680" t="str">
            <v>001</v>
          </cell>
        </row>
        <row r="681">
          <cell r="A681" t="str">
            <v>Приобретение услуг</v>
          </cell>
          <cell r="B681" t="str">
            <v>903</v>
          </cell>
          <cell r="C681" t="str">
            <v>07</v>
          </cell>
          <cell r="D681" t="str">
            <v>02</v>
          </cell>
          <cell r="E681" t="str">
            <v>421 99 00</v>
          </cell>
          <cell r="F681" t="str">
            <v>001</v>
          </cell>
        </row>
        <row r="682">
          <cell r="A682" t="str">
            <v>Услуги связи </v>
          </cell>
          <cell r="B682" t="str">
            <v>903</v>
          </cell>
          <cell r="C682" t="str">
            <v>07</v>
          </cell>
          <cell r="D682" t="str">
            <v>02</v>
          </cell>
          <cell r="E682" t="str">
            <v>421 99 00</v>
          </cell>
          <cell r="F682" t="str">
            <v>001</v>
          </cell>
        </row>
        <row r="683">
          <cell r="A683" t="str">
            <v>Услуги связи  8.05.00.00</v>
          </cell>
          <cell r="B683" t="str">
            <v>903</v>
          </cell>
          <cell r="C683" t="str">
            <v>07</v>
          </cell>
          <cell r="D683" t="str">
            <v>02</v>
          </cell>
          <cell r="E683" t="str">
            <v>421 99 00</v>
          </cell>
          <cell r="F683" t="str">
            <v>001</v>
          </cell>
        </row>
        <row r="684">
          <cell r="A684" t="str">
            <v>Транспортные услуги</v>
          </cell>
          <cell r="B684" t="str">
            <v>903</v>
          </cell>
          <cell r="C684" t="str">
            <v>07</v>
          </cell>
          <cell r="D684" t="str">
            <v>02</v>
          </cell>
          <cell r="E684" t="str">
            <v>421 99 00</v>
          </cell>
          <cell r="F684" t="str">
            <v>001</v>
          </cell>
        </row>
        <row r="685">
          <cell r="A685" t="str">
            <v>Коммунальные услуги</v>
          </cell>
          <cell r="B685" t="str">
            <v>903</v>
          </cell>
          <cell r="C685" t="str">
            <v>07</v>
          </cell>
          <cell r="D685" t="str">
            <v>02</v>
          </cell>
          <cell r="E685" t="str">
            <v>421 99 00</v>
          </cell>
          <cell r="F685" t="str">
            <v>001</v>
          </cell>
        </row>
        <row r="686">
          <cell r="A686" t="str">
            <v>Арендная плата за пользование иммуществом </v>
          </cell>
          <cell r="B686" t="str">
            <v>903</v>
          </cell>
          <cell r="C686" t="str">
            <v>07</v>
          </cell>
          <cell r="D686" t="str">
            <v>02</v>
          </cell>
          <cell r="E686" t="str">
            <v>421 99 00</v>
          </cell>
          <cell r="F686" t="str">
            <v>001</v>
          </cell>
        </row>
        <row r="687">
          <cell r="A687" t="str">
            <v>Услуги по содержанию иммущества</v>
          </cell>
          <cell r="B687" t="str">
            <v>903</v>
          </cell>
          <cell r="C687" t="str">
            <v>07</v>
          </cell>
          <cell r="D687" t="str">
            <v>02</v>
          </cell>
          <cell r="E687" t="str">
            <v>421 99 00</v>
          </cell>
          <cell r="F687" t="str">
            <v>001</v>
          </cell>
        </row>
        <row r="688">
          <cell r="A688" t="str">
            <v>Услуги по содержанию иммущества 8.40.00</v>
          </cell>
          <cell r="B688" t="str">
            <v>903</v>
          </cell>
          <cell r="C688" t="str">
            <v>07</v>
          </cell>
          <cell r="D688" t="str">
            <v>02</v>
          </cell>
          <cell r="E688" t="str">
            <v>421 99 00</v>
          </cell>
          <cell r="F688" t="str">
            <v>001</v>
          </cell>
        </row>
        <row r="689">
          <cell r="A689" t="str">
            <v>Услуги по содержанию иммущества 8.40.01</v>
          </cell>
          <cell r="B689" t="str">
            <v>903</v>
          </cell>
          <cell r="C689" t="str">
            <v>07</v>
          </cell>
          <cell r="D689" t="str">
            <v>02</v>
          </cell>
          <cell r="E689" t="str">
            <v>421 99 00</v>
          </cell>
          <cell r="F689" t="str">
            <v>001</v>
          </cell>
        </row>
        <row r="690">
          <cell r="A690" t="str">
            <v>Услуги по содержанию иммущества 8.40.02</v>
          </cell>
          <cell r="B690" t="str">
            <v>903</v>
          </cell>
          <cell r="C690" t="str">
            <v>07</v>
          </cell>
          <cell r="D690" t="str">
            <v>02</v>
          </cell>
          <cell r="E690" t="str">
            <v>421 99 00</v>
          </cell>
          <cell r="F690" t="str">
            <v>001</v>
          </cell>
        </row>
        <row r="691">
          <cell r="A691" t="str">
            <v>Услуги по содержанию иммущества 8,40,01 Кап ремонты</v>
          </cell>
          <cell r="B691" t="str">
            <v>903</v>
          </cell>
          <cell r="C691" t="str">
            <v>07</v>
          </cell>
          <cell r="D691" t="str">
            <v>02</v>
          </cell>
          <cell r="E691" t="str">
            <v>421 99 00</v>
          </cell>
          <cell r="F691" t="str">
            <v>001</v>
          </cell>
        </row>
        <row r="692">
          <cell r="A692" t="str">
            <v>Услуги по содержанию иммущества 8,40,02 Кап ремонты</v>
          </cell>
          <cell r="B692" t="str">
            <v>903</v>
          </cell>
          <cell r="C692" t="str">
            <v>07</v>
          </cell>
          <cell r="D692" t="str">
            <v>02</v>
          </cell>
          <cell r="E692" t="str">
            <v>421 99 00</v>
          </cell>
          <cell r="F692" t="str">
            <v>001</v>
          </cell>
        </row>
        <row r="693">
          <cell r="A693" t="str">
            <v>Прочие услуги</v>
          </cell>
          <cell r="B693" t="str">
            <v>903</v>
          </cell>
          <cell r="C693" t="str">
            <v>07</v>
          </cell>
          <cell r="D693" t="str">
            <v>02</v>
          </cell>
          <cell r="E693" t="str">
            <v>421 99 00</v>
          </cell>
          <cell r="F693" t="str">
            <v>001</v>
          </cell>
        </row>
        <row r="694">
          <cell r="A694" t="str">
            <v>Прочие услуги 8.05.00</v>
          </cell>
          <cell r="B694" t="str">
            <v>903</v>
          </cell>
          <cell r="C694" t="str">
            <v>07</v>
          </cell>
          <cell r="D694" t="str">
            <v>02</v>
          </cell>
          <cell r="E694" t="str">
            <v>421 99 00</v>
          </cell>
          <cell r="F694" t="str">
            <v>001</v>
          </cell>
        </row>
        <row r="695">
          <cell r="A695" t="str">
            <v>Прочие услуги 8.40.00</v>
          </cell>
          <cell r="B695" t="str">
            <v>903</v>
          </cell>
          <cell r="C695" t="str">
            <v>07</v>
          </cell>
          <cell r="D695" t="str">
            <v>02</v>
          </cell>
          <cell r="E695" t="str">
            <v>421 99 00</v>
          </cell>
          <cell r="F695" t="str">
            <v>001</v>
          </cell>
        </row>
        <row r="696">
          <cell r="A696" t="str">
            <v>Прочие услуги 8.40.02</v>
          </cell>
          <cell r="B696" t="str">
            <v>903</v>
          </cell>
          <cell r="C696" t="str">
            <v>07</v>
          </cell>
          <cell r="D696" t="str">
            <v>02</v>
          </cell>
          <cell r="E696" t="str">
            <v>422 99 00</v>
          </cell>
          <cell r="F696" t="str">
            <v>001</v>
          </cell>
        </row>
        <row r="697">
          <cell r="A697" t="str">
            <v>Социальное обеспечение</v>
          </cell>
          <cell r="B697" t="str">
            <v>903</v>
          </cell>
          <cell r="C697" t="str">
            <v>07</v>
          </cell>
          <cell r="D697" t="str">
            <v>02</v>
          </cell>
          <cell r="E697" t="str">
            <v>421 99 00</v>
          </cell>
          <cell r="F697" t="str">
            <v>001</v>
          </cell>
        </row>
        <row r="698">
          <cell r="A698" t="str">
            <v>Пособия по социальной помощи населению</v>
          </cell>
          <cell r="B698" t="str">
            <v>903</v>
          </cell>
          <cell r="C698" t="str">
            <v>07</v>
          </cell>
          <cell r="D698" t="str">
            <v>02</v>
          </cell>
          <cell r="E698" t="str">
            <v>421 99 00</v>
          </cell>
          <cell r="F698" t="str">
            <v>001</v>
          </cell>
        </row>
        <row r="699">
          <cell r="A699" t="str">
            <v>Прочие расходы </v>
          </cell>
          <cell r="B699" t="str">
            <v>903</v>
          </cell>
          <cell r="C699" t="str">
            <v>07</v>
          </cell>
          <cell r="D699" t="str">
            <v>02</v>
          </cell>
          <cell r="E699" t="str">
            <v>421 99 00</v>
          </cell>
          <cell r="F699" t="str">
            <v>001</v>
          </cell>
        </row>
        <row r="700">
          <cell r="A700" t="str">
            <v>Поступление нефинансовых активов</v>
          </cell>
          <cell r="B700" t="str">
            <v>903</v>
          </cell>
          <cell r="C700" t="str">
            <v>07</v>
          </cell>
          <cell r="D700" t="str">
            <v>02</v>
          </cell>
          <cell r="E700" t="str">
            <v>421 99 00</v>
          </cell>
          <cell r="F700" t="str">
            <v>001</v>
          </cell>
        </row>
        <row r="701">
          <cell r="A701" t="str">
            <v>Увеличение стоимости основных средств</v>
          </cell>
          <cell r="B701" t="str">
            <v>903</v>
          </cell>
          <cell r="C701" t="str">
            <v>07</v>
          </cell>
          <cell r="D701" t="str">
            <v>02</v>
          </cell>
          <cell r="E701" t="str">
            <v>421 99 00</v>
          </cell>
          <cell r="F701" t="str">
            <v>001</v>
          </cell>
        </row>
        <row r="702">
          <cell r="A702" t="str">
            <v> 8.05.00.00</v>
          </cell>
          <cell r="B702" t="str">
            <v>903</v>
          </cell>
          <cell r="C702" t="str">
            <v>07</v>
          </cell>
          <cell r="D702" t="str">
            <v>02</v>
          </cell>
          <cell r="E702" t="str">
            <v>421 99 00</v>
          </cell>
          <cell r="F702" t="str">
            <v>001</v>
          </cell>
        </row>
        <row r="703">
          <cell r="A703" t="str">
            <v> 8.40,02</v>
          </cell>
          <cell r="B703" t="str">
            <v>903</v>
          </cell>
          <cell r="C703" t="str">
            <v>07</v>
          </cell>
          <cell r="D703" t="str">
            <v>02</v>
          </cell>
          <cell r="E703" t="str">
            <v>422 99 00</v>
          </cell>
          <cell r="F703" t="str">
            <v>001</v>
          </cell>
        </row>
        <row r="704">
          <cell r="A704" t="str">
            <v>Увеличение стоимости материальных запасов</v>
          </cell>
          <cell r="B704" t="str">
            <v>903</v>
          </cell>
          <cell r="C704" t="str">
            <v>07</v>
          </cell>
          <cell r="D704" t="str">
            <v>02</v>
          </cell>
          <cell r="E704" t="str">
            <v>421 99 00</v>
          </cell>
          <cell r="F704" t="str">
            <v>001</v>
          </cell>
        </row>
        <row r="705">
          <cell r="A705" t="str">
            <v> 8.05.00.00</v>
          </cell>
          <cell r="B705" t="str">
            <v>903</v>
          </cell>
          <cell r="C705" t="str">
            <v>07</v>
          </cell>
          <cell r="D705" t="str">
            <v>02</v>
          </cell>
          <cell r="E705" t="str">
            <v>421 99 00</v>
          </cell>
          <cell r="F705" t="str">
            <v>001</v>
          </cell>
        </row>
        <row r="706">
          <cell r="A706" t="str">
            <v> 8.05.00.01</v>
          </cell>
          <cell r="B706" t="str">
            <v>903</v>
          </cell>
          <cell r="C706" t="str">
            <v>07</v>
          </cell>
          <cell r="D706" t="str">
            <v>02</v>
          </cell>
          <cell r="E706" t="str">
            <v>422 99 00</v>
          </cell>
          <cell r="F706" t="str">
            <v>001</v>
          </cell>
        </row>
        <row r="707">
          <cell r="A707" t="str">
            <v> 8.05.00.02</v>
          </cell>
          <cell r="B707" t="str">
            <v>903</v>
          </cell>
          <cell r="C707" t="str">
            <v>07</v>
          </cell>
          <cell r="D707" t="str">
            <v>02</v>
          </cell>
          <cell r="E707" t="str">
            <v>423 99 00</v>
          </cell>
          <cell r="F707" t="str">
            <v>001</v>
          </cell>
        </row>
        <row r="708">
          <cell r="A708" t="str">
            <v> 8.05.00.03</v>
          </cell>
          <cell r="B708" t="str">
            <v>903</v>
          </cell>
          <cell r="C708" t="str">
            <v>07</v>
          </cell>
          <cell r="D708" t="str">
            <v>02</v>
          </cell>
          <cell r="E708" t="str">
            <v>424 99 00</v>
          </cell>
          <cell r="F708" t="str">
            <v>001</v>
          </cell>
        </row>
        <row r="709">
          <cell r="A709" t="str">
            <v> 8.05.00.04</v>
          </cell>
          <cell r="B709" t="str">
            <v>903</v>
          </cell>
          <cell r="C709" t="str">
            <v>07</v>
          </cell>
          <cell r="D709" t="str">
            <v>02</v>
          </cell>
          <cell r="E709" t="str">
            <v>425 99 00</v>
          </cell>
          <cell r="F709" t="str">
            <v>001</v>
          </cell>
        </row>
        <row r="710">
          <cell r="A710" t="str">
            <v> 8.05.00.05</v>
          </cell>
          <cell r="B710" t="str">
            <v>903</v>
          </cell>
          <cell r="C710" t="str">
            <v>07</v>
          </cell>
          <cell r="D710" t="str">
            <v>02</v>
          </cell>
          <cell r="E710" t="str">
            <v>426 99 00</v>
          </cell>
          <cell r="F710" t="str">
            <v>001</v>
          </cell>
        </row>
        <row r="711">
          <cell r="A711" t="str">
            <v> 8.40,02</v>
          </cell>
          <cell r="B711" t="str">
            <v>903</v>
          </cell>
          <cell r="C711" t="str">
            <v>07</v>
          </cell>
          <cell r="D711" t="str">
            <v>02</v>
          </cell>
          <cell r="E711" t="str">
            <v>421 99 00</v>
          </cell>
          <cell r="F711" t="str">
            <v>001</v>
          </cell>
        </row>
        <row r="712">
          <cell r="A712" t="str">
            <v>Субсидии некоммерческим организациям</v>
          </cell>
          <cell r="B712" t="str">
            <v>903</v>
          </cell>
          <cell r="C712" t="str">
            <v>07</v>
          </cell>
          <cell r="D712" t="str">
            <v>02</v>
          </cell>
          <cell r="E712" t="str">
            <v>421 99 00</v>
          </cell>
          <cell r="F712" t="str">
            <v>019</v>
          </cell>
        </row>
        <row r="713">
          <cell r="A713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713" t="str">
            <v>903</v>
          </cell>
          <cell r="C713" t="str">
            <v>07</v>
          </cell>
          <cell r="D713" t="str">
            <v>02</v>
          </cell>
          <cell r="E713" t="str">
            <v>590 00 00</v>
          </cell>
          <cell r="F713" t="str">
            <v>000</v>
          </cell>
        </row>
        <row r="714">
          <cell r="A714" t="str">
            <v>Выполнение функций бюджетными учреждениями</v>
          </cell>
          <cell r="B714" t="str">
            <v>903</v>
          </cell>
          <cell r="C714" t="str">
            <v>07</v>
          </cell>
          <cell r="D714" t="str">
            <v>02</v>
          </cell>
          <cell r="E714" t="str">
            <v>590 00 00</v>
          </cell>
          <cell r="F714" t="str">
            <v>001</v>
          </cell>
        </row>
        <row r="715">
          <cell r="A715" t="str">
            <v>Субсидии некоммерческим организациям</v>
          </cell>
          <cell r="B715" t="str">
            <v>903</v>
          </cell>
          <cell r="C715" t="str">
            <v>07</v>
          </cell>
          <cell r="D715" t="str">
            <v>02</v>
          </cell>
          <cell r="E715" t="str">
            <v>590 00 00</v>
          </cell>
          <cell r="F715" t="str">
            <v>019</v>
          </cell>
        </row>
        <row r="716">
          <cell r="A716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716" t="str">
            <v>903</v>
          </cell>
          <cell r="C716" t="str">
            <v>07</v>
          </cell>
          <cell r="D716" t="str">
            <v>02</v>
          </cell>
          <cell r="E716" t="str">
            <v>594 00 00</v>
          </cell>
          <cell r="F716" t="str">
            <v>000</v>
          </cell>
        </row>
        <row r="717">
          <cell r="A717" t="str">
            <v>Субсидии некоммерческим организациям</v>
          </cell>
          <cell r="B717" t="str">
            <v>903</v>
          </cell>
          <cell r="C717" t="str">
            <v>07</v>
          </cell>
          <cell r="D717" t="str">
            <v>02</v>
          </cell>
          <cell r="E717" t="str">
            <v>594 00 00</v>
          </cell>
          <cell r="F717" t="str">
            <v>019</v>
          </cell>
        </row>
        <row r="718">
          <cell r="A718" t="str">
            <v>Субвенции на обеспечение госуд. гарантий прав граждан на поблучение общедоступного и бесплатного дошкольного, начального общего, основного общего, среднего (полного) общего образования, а так же дополнительного образования в общеобразовательных учреждения</v>
          </cell>
          <cell r="B718" t="str">
            <v>903</v>
          </cell>
          <cell r="C718" t="str">
            <v>07</v>
          </cell>
          <cell r="D718" t="str">
            <v>02</v>
          </cell>
          <cell r="E718" t="str">
            <v>002 50 00</v>
          </cell>
          <cell r="F718" t="str">
            <v>000</v>
          </cell>
        </row>
        <row r="719">
          <cell r="A719" t="str">
            <v>Обеспечение деятельности подведомственных учреждений</v>
          </cell>
          <cell r="B719" t="str">
            <v>903</v>
          </cell>
          <cell r="C719" t="str">
            <v>07</v>
          </cell>
          <cell r="D719" t="str">
            <v>02</v>
          </cell>
          <cell r="E719" t="str">
            <v>002 50 00</v>
          </cell>
          <cell r="F719" t="str">
            <v>000</v>
          </cell>
        </row>
        <row r="720">
          <cell r="A720" t="str">
            <v>Выполнение функций бюджетными учреждениями</v>
          </cell>
          <cell r="B720" t="str">
            <v>903</v>
          </cell>
          <cell r="C720" t="str">
            <v>07</v>
          </cell>
          <cell r="D720" t="str">
            <v>02</v>
          </cell>
          <cell r="E720" t="str">
            <v>002 50 00</v>
          </cell>
          <cell r="F720" t="str">
            <v>001</v>
          </cell>
        </row>
        <row r="721">
          <cell r="A721" t="str">
            <v>Расходы</v>
          </cell>
          <cell r="B721" t="str">
            <v>903</v>
          </cell>
          <cell r="C721" t="str">
            <v>07</v>
          </cell>
          <cell r="D721" t="str">
            <v>02</v>
          </cell>
          <cell r="E721" t="str">
            <v>002 50 00</v>
          </cell>
          <cell r="F721" t="str">
            <v>001</v>
          </cell>
        </row>
        <row r="722">
          <cell r="A722" t="str">
            <v>Оплата труда и начисления на оплату труда</v>
          </cell>
          <cell r="B722" t="str">
            <v>903</v>
          </cell>
          <cell r="C722" t="str">
            <v>07</v>
          </cell>
          <cell r="D722" t="str">
            <v>02</v>
          </cell>
          <cell r="E722" t="str">
            <v>002 50 00</v>
          </cell>
          <cell r="F722" t="str">
            <v>001</v>
          </cell>
        </row>
        <row r="723">
          <cell r="A723" t="str">
            <v>Заработная плата</v>
          </cell>
          <cell r="B723" t="str">
            <v>903</v>
          </cell>
          <cell r="C723" t="str">
            <v>07</v>
          </cell>
          <cell r="D723" t="str">
            <v>02</v>
          </cell>
          <cell r="E723" t="str">
            <v>002 50 00</v>
          </cell>
          <cell r="F723" t="str">
            <v>001</v>
          </cell>
        </row>
        <row r="724">
          <cell r="A724" t="str">
            <v>Начисление на оплату труда</v>
          </cell>
          <cell r="B724" t="str">
            <v>903</v>
          </cell>
          <cell r="C724" t="str">
            <v>07</v>
          </cell>
          <cell r="D724" t="str">
            <v>02</v>
          </cell>
          <cell r="E724" t="str">
            <v>002 50 00</v>
          </cell>
          <cell r="F724" t="str">
            <v>001</v>
          </cell>
        </row>
        <row r="725">
          <cell r="A725" t="str">
            <v>Приобретение услуг</v>
          </cell>
          <cell r="B725" t="str">
            <v>903</v>
          </cell>
          <cell r="C725" t="str">
            <v>07</v>
          </cell>
          <cell r="D725" t="str">
            <v>02</v>
          </cell>
          <cell r="E725" t="str">
            <v>002 50 00</v>
          </cell>
          <cell r="F725" t="str">
            <v>001</v>
          </cell>
        </row>
        <row r="726">
          <cell r="A726" t="str">
            <v>Услуги связи </v>
          </cell>
          <cell r="B726" t="str">
            <v>903</v>
          </cell>
          <cell r="C726" t="str">
            <v>07</v>
          </cell>
          <cell r="D726" t="str">
            <v>02</v>
          </cell>
          <cell r="E726" t="str">
            <v>002 50 00</v>
          </cell>
          <cell r="F726" t="str">
            <v>001</v>
          </cell>
        </row>
        <row r="727">
          <cell r="A727" t="str">
            <v>Прочие услуги</v>
          </cell>
          <cell r="B727" t="str">
            <v>903</v>
          </cell>
          <cell r="C727" t="str">
            <v>07</v>
          </cell>
          <cell r="D727" t="str">
            <v>02</v>
          </cell>
          <cell r="E727" t="str">
            <v>002 50 00</v>
          </cell>
          <cell r="F727" t="str">
            <v>001</v>
          </cell>
        </row>
        <row r="728">
          <cell r="A728" t="str">
            <v>Поступление нефинансовых активов</v>
          </cell>
          <cell r="B728" t="str">
            <v>903</v>
          </cell>
          <cell r="C728" t="str">
            <v>07</v>
          </cell>
          <cell r="D728" t="str">
            <v>02</v>
          </cell>
          <cell r="E728" t="str">
            <v>002 50 00</v>
          </cell>
          <cell r="F728" t="str">
            <v>001</v>
          </cell>
        </row>
        <row r="729">
          <cell r="A729" t="str">
            <v>Увеличение стоимости основных средств</v>
          </cell>
          <cell r="B729" t="str">
            <v>903</v>
          </cell>
          <cell r="C729" t="str">
            <v>07</v>
          </cell>
          <cell r="D729" t="str">
            <v>02</v>
          </cell>
          <cell r="E729" t="str">
            <v>002 50 00</v>
          </cell>
          <cell r="F729" t="str">
            <v>001</v>
          </cell>
        </row>
        <row r="730">
          <cell r="A730" t="str">
            <v>Субсидии некоммерческим организациям</v>
          </cell>
          <cell r="B730" t="str">
            <v>903</v>
          </cell>
          <cell r="C730" t="str">
            <v>07</v>
          </cell>
          <cell r="D730" t="str">
            <v>02</v>
          </cell>
          <cell r="E730" t="str">
            <v>002 50 00</v>
          </cell>
          <cell r="F730" t="str">
            <v>019</v>
          </cell>
        </row>
        <row r="731">
          <cell r="A731" t="str">
            <v>Учреждения по внешкольной работе с детьми</v>
          </cell>
          <cell r="C731" t="str">
            <v>07</v>
          </cell>
          <cell r="D731" t="str">
            <v>02</v>
          </cell>
          <cell r="E731" t="str">
            <v>423 00 00</v>
          </cell>
          <cell r="F731" t="str">
            <v>000</v>
          </cell>
        </row>
        <row r="732">
          <cell r="A732" t="str">
            <v>Обеспечение деятельности подведомственных учреждений</v>
          </cell>
          <cell r="B732" t="str">
            <v>903</v>
          </cell>
          <cell r="C732" t="str">
            <v>07</v>
          </cell>
          <cell r="D732" t="str">
            <v>02</v>
          </cell>
          <cell r="E732" t="str">
            <v>423 99 00</v>
          </cell>
          <cell r="F732" t="str">
            <v>000</v>
          </cell>
        </row>
        <row r="733">
          <cell r="A733" t="str">
            <v>Выполнение функций бюджетными учреждениями</v>
          </cell>
          <cell r="B733" t="str">
            <v>903</v>
          </cell>
          <cell r="C733" t="str">
            <v>07</v>
          </cell>
          <cell r="D733" t="str">
            <v>02</v>
          </cell>
          <cell r="E733" t="str">
            <v>423 99 00</v>
          </cell>
          <cell r="F733" t="str">
            <v>001</v>
          </cell>
        </row>
        <row r="734">
          <cell r="A734" t="str">
            <v>Расходы</v>
          </cell>
          <cell r="B734" t="str">
            <v>903</v>
          </cell>
          <cell r="C734" t="str">
            <v>07</v>
          </cell>
          <cell r="D734" t="str">
            <v>02</v>
          </cell>
          <cell r="E734" t="str">
            <v>423 99 00</v>
          </cell>
          <cell r="F734" t="str">
            <v>001</v>
          </cell>
        </row>
        <row r="735">
          <cell r="A735" t="str">
            <v>Оплата труда и начисления на оплату труда</v>
          </cell>
          <cell r="B735" t="str">
            <v>903</v>
          </cell>
          <cell r="C735" t="str">
            <v>07</v>
          </cell>
          <cell r="D735" t="str">
            <v>02</v>
          </cell>
          <cell r="E735" t="str">
            <v>423 99 00</v>
          </cell>
          <cell r="F735" t="str">
            <v>001</v>
          </cell>
        </row>
        <row r="736">
          <cell r="A736" t="str">
            <v>Заработная плата</v>
          </cell>
          <cell r="B736" t="str">
            <v>903</v>
          </cell>
          <cell r="C736" t="str">
            <v>07</v>
          </cell>
          <cell r="D736" t="str">
            <v>02</v>
          </cell>
          <cell r="E736" t="str">
            <v>423 99 00</v>
          </cell>
          <cell r="F736" t="str">
            <v>001</v>
          </cell>
        </row>
        <row r="737">
          <cell r="A737" t="str">
            <v>Прочие выплаты</v>
          </cell>
          <cell r="B737" t="str">
            <v>903</v>
          </cell>
          <cell r="C737" t="str">
            <v>07</v>
          </cell>
          <cell r="D737" t="str">
            <v>02</v>
          </cell>
          <cell r="E737" t="str">
            <v>423 99 00</v>
          </cell>
          <cell r="F737" t="str">
            <v>001</v>
          </cell>
        </row>
        <row r="738">
          <cell r="A738" t="str">
            <v>Начисление на оплату труда</v>
          </cell>
          <cell r="B738" t="str">
            <v>903</v>
          </cell>
          <cell r="C738" t="str">
            <v>07</v>
          </cell>
          <cell r="D738" t="str">
            <v>02</v>
          </cell>
          <cell r="E738" t="str">
            <v>423 99 00</v>
          </cell>
          <cell r="F738" t="str">
            <v>001</v>
          </cell>
        </row>
        <row r="739">
          <cell r="A739" t="str">
            <v>Приобретение услуг</v>
          </cell>
          <cell r="B739" t="str">
            <v>903</v>
          </cell>
          <cell r="C739" t="str">
            <v>07</v>
          </cell>
          <cell r="D739" t="str">
            <v>02</v>
          </cell>
          <cell r="E739" t="str">
            <v>423 99 00</v>
          </cell>
          <cell r="F739" t="str">
            <v>001</v>
          </cell>
        </row>
        <row r="740">
          <cell r="A740" t="str">
            <v>Услуги связи </v>
          </cell>
          <cell r="B740" t="str">
            <v>903</v>
          </cell>
          <cell r="C740" t="str">
            <v>07</v>
          </cell>
          <cell r="D740" t="str">
            <v>02</v>
          </cell>
          <cell r="E740" t="str">
            <v>423 99 00</v>
          </cell>
          <cell r="F740" t="str">
            <v>001</v>
          </cell>
        </row>
        <row r="741">
          <cell r="A741" t="str">
            <v>Транспортные услуги</v>
          </cell>
          <cell r="B741" t="str">
            <v>903</v>
          </cell>
          <cell r="C741" t="str">
            <v>07</v>
          </cell>
          <cell r="D741" t="str">
            <v>02</v>
          </cell>
          <cell r="E741" t="str">
            <v>423 99 00</v>
          </cell>
          <cell r="F741" t="str">
            <v>001</v>
          </cell>
        </row>
        <row r="742">
          <cell r="A742" t="str">
            <v>Коммунальные услуги</v>
          </cell>
          <cell r="B742" t="str">
            <v>903</v>
          </cell>
          <cell r="C742" t="str">
            <v>07</v>
          </cell>
          <cell r="D742" t="str">
            <v>02</v>
          </cell>
          <cell r="E742" t="str">
            <v>423 99 00</v>
          </cell>
          <cell r="F742" t="str">
            <v>001</v>
          </cell>
        </row>
        <row r="743">
          <cell r="A743" t="str">
            <v>Арендная плата за пользование иммуществом </v>
          </cell>
          <cell r="B743" t="str">
            <v>903</v>
          </cell>
          <cell r="C743" t="str">
            <v>07</v>
          </cell>
          <cell r="D743" t="str">
            <v>02</v>
          </cell>
          <cell r="E743" t="str">
            <v>423 99 00</v>
          </cell>
          <cell r="F743" t="str">
            <v>001</v>
          </cell>
        </row>
        <row r="744">
          <cell r="A744" t="str">
            <v>Услуги по содержанию иммущества</v>
          </cell>
          <cell r="B744" t="str">
            <v>903</v>
          </cell>
          <cell r="C744" t="str">
            <v>07</v>
          </cell>
          <cell r="D744" t="str">
            <v>02</v>
          </cell>
          <cell r="E744" t="str">
            <v>423 99 00</v>
          </cell>
          <cell r="F744" t="str">
            <v>001</v>
          </cell>
        </row>
        <row r="745">
          <cell r="A745" t="str">
            <v>Услуги по содержанию иммущества 8,40,00</v>
          </cell>
          <cell r="B745" t="str">
            <v>903</v>
          </cell>
          <cell r="C745" t="str">
            <v>07</v>
          </cell>
          <cell r="D745" t="str">
            <v>02</v>
          </cell>
          <cell r="E745" t="str">
            <v>423 99 00</v>
          </cell>
          <cell r="F745" t="str">
            <v>001</v>
          </cell>
        </row>
        <row r="746">
          <cell r="A746" t="str">
            <v>Прочие услуги</v>
          </cell>
          <cell r="B746" t="str">
            <v>903</v>
          </cell>
          <cell r="C746" t="str">
            <v>07</v>
          </cell>
          <cell r="D746" t="str">
            <v>02</v>
          </cell>
          <cell r="E746" t="str">
            <v>423 99 00</v>
          </cell>
          <cell r="F746" t="str">
            <v>001</v>
          </cell>
        </row>
        <row r="747">
          <cell r="A747" t="str">
            <v>Прочие расходы </v>
          </cell>
          <cell r="B747" t="str">
            <v>903</v>
          </cell>
          <cell r="C747" t="str">
            <v>07</v>
          </cell>
          <cell r="D747" t="str">
            <v>02</v>
          </cell>
          <cell r="E747" t="str">
            <v>423 99 00</v>
          </cell>
          <cell r="F747" t="str">
            <v>001</v>
          </cell>
        </row>
        <row r="748">
          <cell r="A748" t="str">
            <v>Поступление нефинансовых активов</v>
          </cell>
          <cell r="B748" t="str">
            <v>903</v>
          </cell>
          <cell r="C748" t="str">
            <v>07</v>
          </cell>
          <cell r="D748" t="str">
            <v>02</v>
          </cell>
          <cell r="E748" t="str">
            <v>423 99 00</v>
          </cell>
          <cell r="F748" t="str">
            <v>001</v>
          </cell>
        </row>
        <row r="749">
          <cell r="A749" t="str">
            <v>Увеличение стоимости основных средств</v>
          </cell>
          <cell r="B749" t="str">
            <v>903</v>
          </cell>
          <cell r="C749" t="str">
            <v>07</v>
          </cell>
          <cell r="D749" t="str">
            <v>02</v>
          </cell>
          <cell r="E749" t="str">
            <v>423 99 00</v>
          </cell>
          <cell r="F749" t="str">
            <v>001</v>
          </cell>
        </row>
        <row r="750">
          <cell r="A750" t="str">
            <v>Увеличение стоимости материальных запасов</v>
          </cell>
          <cell r="B750" t="str">
            <v>903</v>
          </cell>
          <cell r="C750" t="str">
            <v>07</v>
          </cell>
          <cell r="D750" t="str">
            <v>02</v>
          </cell>
          <cell r="E750" t="str">
            <v>423 99 00</v>
          </cell>
          <cell r="F750" t="str">
            <v>001</v>
          </cell>
        </row>
        <row r="751">
          <cell r="A751" t="str">
            <v>Мероприятия по организации оздоровительной кампании детей </v>
          </cell>
          <cell r="B751" t="str">
            <v>903</v>
          </cell>
          <cell r="C751" t="str">
            <v>07</v>
          </cell>
          <cell r="D751" t="str">
            <v>07</v>
          </cell>
          <cell r="E751" t="str">
            <v>432 01 00</v>
          </cell>
          <cell r="F751" t="str">
            <v>000</v>
          </cell>
        </row>
        <row r="752">
          <cell r="B752" t="str">
            <v>903</v>
          </cell>
          <cell r="C752" t="str">
            <v>07</v>
          </cell>
          <cell r="D752" t="str">
            <v>02</v>
          </cell>
          <cell r="E752" t="str">
            <v>432 20 00</v>
          </cell>
          <cell r="F752" t="str">
            <v>000</v>
          </cell>
        </row>
        <row r="753">
          <cell r="A753" t="str">
            <v>Мероприятия по организации оздоровительной кампании детей за счет средств областного бюджета </v>
          </cell>
          <cell r="B753" t="str">
            <v>903</v>
          </cell>
          <cell r="C753" t="str">
            <v>07</v>
          </cell>
          <cell r="D753" t="str">
            <v>07</v>
          </cell>
          <cell r="E753" t="str">
            <v>432 01 01</v>
          </cell>
          <cell r="F753" t="str">
            <v>001</v>
          </cell>
        </row>
        <row r="754">
          <cell r="A754" t="str">
            <v>Поступление нефинансовых активов</v>
          </cell>
          <cell r="B754" t="str">
            <v>903</v>
          </cell>
          <cell r="C754" t="str">
            <v>07</v>
          </cell>
          <cell r="D754" t="str">
            <v>07</v>
          </cell>
          <cell r="E754" t="str">
            <v>432 01 01</v>
          </cell>
          <cell r="F754" t="str">
            <v>001</v>
          </cell>
        </row>
        <row r="755">
          <cell r="A755" t="str">
            <v>Увеличение стоимости материальных запасов</v>
          </cell>
          <cell r="B755" t="str">
            <v>903</v>
          </cell>
          <cell r="C755" t="str">
            <v>07</v>
          </cell>
          <cell r="D755" t="str">
            <v>07</v>
          </cell>
          <cell r="E755" t="str">
            <v>432 01 01</v>
          </cell>
          <cell r="F755" t="str">
            <v>001</v>
          </cell>
        </row>
        <row r="756">
          <cell r="A756" t="str">
            <v>Мероприятия по организации оздоровительной кампании детей за счет средств местного бюджета </v>
          </cell>
          <cell r="B756" t="str">
            <v>903</v>
          </cell>
          <cell r="C756" t="str">
            <v>07</v>
          </cell>
          <cell r="D756" t="str">
            <v>07</v>
          </cell>
          <cell r="E756" t="str">
            <v>432 01 02</v>
          </cell>
          <cell r="F756" t="str">
            <v>001</v>
          </cell>
        </row>
        <row r="757">
          <cell r="A757" t="str">
            <v>Поступление нефинансовых активов</v>
          </cell>
          <cell r="B757" t="str">
            <v>903</v>
          </cell>
          <cell r="C757" t="str">
            <v>07</v>
          </cell>
          <cell r="D757" t="str">
            <v>07</v>
          </cell>
          <cell r="E757" t="str">
            <v>432 01 02</v>
          </cell>
          <cell r="F757" t="str">
            <v>001</v>
          </cell>
        </row>
        <row r="758">
          <cell r="A758" t="str">
            <v>Увеличение стоимости материальных запасов</v>
          </cell>
          <cell r="B758" t="str">
            <v>903</v>
          </cell>
          <cell r="C758" t="str">
            <v>07</v>
          </cell>
          <cell r="D758" t="str">
            <v>07</v>
          </cell>
          <cell r="E758" t="str">
            <v>432 01 02</v>
          </cell>
          <cell r="F758" t="str">
            <v>001</v>
          </cell>
        </row>
        <row r="759">
          <cell r="A759" t="str">
            <v>Закупка автотранспотрных средств и коммунальной техники </v>
          </cell>
          <cell r="B759" t="str">
            <v>903</v>
          </cell>
          <cell r="C759" t="str">
            <v>07</v>
          </cell>
          <cell r="D759" t="str">
            <v>02</v>
          </cell>
          <cell r="E759" t="str">
            <v>340 07 02</v>
          </cell>
          <cell r="F759" t="str">
            <v>001</v>
          </cell>
        </row>
        <row r="760">
          <cell r="A760" t="str">
            <v>Обеспечение деятельности подведомственных учреждений</v>
          </cell>
          <cell r="B760" t="str">
            <v>903</v>
          </cell>
          <cell r="C760" t="str">
            <v>07</v>
          </cell>
          <cell r="D760" t="str">
            <v>02</v>
          </cell>
          <cell r="E760" t="str">
            <v>340 07 02</v>
          </cell>
          <cell r="F760" t="str">
            <v>001</v>
          </cell>
        </row>
        <row r="761">
          <cell r="A761" t="str">
            <v>Выполнение функций бюджетными учреждениями</v>
          </cell>
          <cell r="B761" t="str">
            <v>903</v>
          </cell>
          <cell r="C761" t="str">
            <v>07</v>
          </cell>
          <cell r="D761" t="str">
            <v>02</v>
          </cell>
          <cell r="E761" t="str">
            <v>340 07 02</v>
          </cell>
          <cell r="F761" t="str">
            <v>001</v>
          </cell>
        </row>
        <row r="762">
          <cell r="A762" t="str">
            <v>Поступление нефинансовых активов</v>
          </cell>
          <cell r="B762" t="str">
            <v>903</v>
          </cell>
          <cell r="C762" t="str">
            <v>07</v>
          </cell>
          <cell r="D762" t="str">
            <v>02</v>
          </cell>
          <cell r="E762" t="str">
            <v>340 07 02</v>
          </cell>
          <cell r="F762" t="str">
            <v>001</v>
          </cell>
        </row>
        <row r="763">
          <cell r="A763" t="str">
            <v>Увеличение стоимости основных средств</v>
          </cell>
          <cell r="B763" t="str">
            <v>903</v>
          </cell>
          <cell r="C763" t="str">
            <v>07</v>
          </cell>
          <cell r="D763" t="str">
            <v>02</v>
          </cell>
          <cell r="E763" t="str">
            <v>340 07 02</v>
          </cell>
          <cell r="F763" t="str">
            <v>001</v>
          </cell>
        </row>
        <row r="766">
          <cell r="A766" t="str">
            <v>Субсидии некоммерческим организациям</v>
          </cell>
          <cell r="B766" t="str">
            <v>903</v>
          </cell>
          <cell r="C766" t="str">
            <v>07</v>
          </cell>
          <cell r="D766" t="str">
            <v>02</v>
          </cell>
          <cell r="E766" t="str">
            <v>423 99 00</v>
          </cell>
          <cell r="F766" t="str">
            <v>019</v>
          </cell>
        </row>
        <row r="767">
          <cell r="A767" t="str">
            <v>Учреждения по внешкольной работе с детьми ( музыкальные школы)</v>
          </cell>
          <cell r="B767" t="str">
            <v>905</v>
          </cell>
          <cell r="C767" t="str">
            <v>07</v>
          </cell>
          <cell r="D767" t="str">
            <v>02</v>
          </cell>
          <cell r="E767" t="str">
            <v>423 00 00</v>
          </cell>
          <cell r="F767" t="str">
            <v>000</v>
          </cell>
        </row>
        <row r="768">
          <cell r="A768" t="str">
            <v>Обеспечение деятельности подведомственных учреждений</v>
          </cell>
          <cell r="B768" t="str">
            <v>905</v>
          </cell>
          <cell r="C768" t="str">
            <v>07</v>
          </cell>
          <cell r="D768" t="str">
            <v>02</v>
          </cell>
          <cell r="E768" t="str">
            <v>423 99 00</v>
          </cell>
          <cell r="F768" t="str">
            <v>000</v>
          </cell>
        </row>
        <row r="769">
          <cell r="A769" t="str">
            <v>Субсидии некоммерческим организациям</v>
          </cell>
          <cell r="B769" t="str">
            <v>905</v>
          </cell>
          <cell r="C769" t="str">
            <v>07</v>
          </cell>
          <cell r="D769" t="str">
            <v>02</v>
          </cell>
          <cell r="E769" t="str">
            <v>423 99 00</v>
          </cell>
          <cell r="F769" t="str">
            <v>019</v>
          </cell>
        </row>
        <row r="770">
          <cell r="A770" t="str">
            <v>Расходы</v>
          </cell>
          <cell r="B770" t="str">
            <v>905</v>
          </cell>
          <cell r="C770" t="str">
            <v>07</v>
          </cell>
          <cell r="D770" t="str">
            <v>02</v>
          </cell>
          <cell r="E770" t="str">
            <v>423 99 00</v>
          </cell>
          <cell r="F770" t="str">
            <v>001</v>
          </cell>
        </row>
        <row r="771">
          <cell r="A771" t="str">
            <v>Оплата труда и начисления на оплату труда</v>
          </cell>
          <cell r="B771" t="str">
            <v>905</v>
          </cell>
          <cell r="C771" t="str">
            <v>07</v>
          </cell>
          <cell r="D771" t="str">
            <v>02</v>
          </cell>
          <cell r="E771" t="str">
            <v>423 99 00</v>
          </cell>
          <cell r="F771" t="str">
            <v>001</v>
          </cell>
        </row>
        <row r="772">
          <cell r="A772" t="str">
            <v>Заработная плата</v>
          </cell>
          <cell r="B772" t="str">
            <v>905</v>
          </cell>
          <cell r="C772" t="str">
            <v>07</v>
          </cell>
          <cell r="D772" t="str">
            <v>02</v>
          </cell>
          <cell r="E772" t="str">
            <v>423 99 00</v>
          </cell>
          <cell r="F772" t="str">
            <v>001</v>
          </cell>
        </row>
        <row r="773">
          <cell r="A773" t="str">
            <v>Прочие выплаты</v>
          </cell>
          <cell r="B773" t="str">
            <v>905</v>
          </cell>
          <cell r="C773" t="str">
            <v>07</v>
          </cell>
          <cell r="D773" t="str">
            <v>02</v>
          </cell>
          <cell r="E773" t="str">
            <v>423 99 00</v>
          </cell>
          <cell r="F773" t="str">
            <v>001</v>
          </cell>
        </row>
        <row r="774">
          <cell r="A774" t="str">
            <v>льготы  пед. работникам 8.01.10.00</v>
          </cell>
          <cell r="B774" t="str">
            <v>905</v>
          </cell>
          <cell r="C774" t="str">
            <v>07</v>
          </cell>
          <cell r="D774" t="str">
            <v>02</v>
          </cell>
          <cell r="E774" t="str">
            <v>424 99 00</v>
          </cell>
          <cell r="F774" t="str">
            <v>001</v>
          </cell>
        </row>
        <row r="775">
          <cell r="A775" t="str">
            <v>Начисление на оплату труда</v>
          </cell>
          <cell r="B775" t="str">
            <v>905</v>
          </cell>
          <cell r="C775" t="str">
            <v>07</v>
          </cell>
          <cell r="D775" t="str">
            <v>02</v>
          </cell>
          <cell r="E775" t="str">
            <v>423 99 00</v>
          </cell>
          <cell r="F775" t="str">
            <v>001</v>
          </cell>
        </row>
        <row r="776">
          <cell r="A776" t="str">
            <v>Приобретение услуг</v>
          </cell>
          <cell r="B776" t="str">
            <v>905</v>
          </cell>
          <cell r="C776" t="str">
            <v>07</v>
          </cell>
          <cell r="D776" t="str">
            <v>02</v>
          </cell>
          <cell r="E776" t="str">
            <v>423 99 00</v>
          </cell>
          <cell r="F776" t="str">
            <v>001</v>
          </cell>
        </row>
        <row r="777">
          <cell r="A777" t="str">
            <v>Услуги связи </v>
          </cell>
          <cell r="B777" t="str">
            <v>905</v>
          </cell>
          <cell r="C777" t="str">
            <v>07</v>
          </cell>
          <cell r="D777" t="str">
            <v>02</v>
          </cell>
          <cell r="E777" t="str">
            <v>423 99 00</v>
          </cell>
          <cell r="F777" t="str">
            <v>001</v>
          </cell>
        </row>
        <row r="778">
          <cell r="A778" t="str">
            <v>Транспортные услуги</v>
          </cell>
          <cell r="B778" t="str">
            <v>905</v>
          </cell>
          <cell r="C778" t="str">
            <v>07</v>
          </cell>
          <cell r="D778" t="str">
            <v>02</v>
          </cell>
          <cell r="E778" t="str">
            <v>423 99 00</v>
          </cell>
          <cell r="F778" t="str">
            <v>001</v>
          </cell>
        </row>
        <row r="779">
          <cell r="A779" t="str">
            <v>Коммунальные услуги</v>
          </cell>
          <cell r="B779" t="str">
            <v>905</v>
          </cell>
          <cell r="C779" t="str">
            <v>07</v>
          </cell>
          <cell r="D779" t="str">
            <v>02</v>
          </cell>
          <cell r="E779" t="str">
            <v>423 99 00</v>
          </cell>
          <cell r="F779" t="str">
            <v>001</v>
          </cell>
        </row>
        <row r="780">
          <cell r="A780" t="str">
            <v>Арендная плата за пользование иммуществом </v>
          </cell>
          <cell r="B780" t="str">
            <v>905</v>
          </cell>
          <cell r="C780" t="str">
            <v>07</v>
          </cell>
          <cell r="D780" t="str">
            <v>02</v>
          </cell>
          <cell r="E780" t="str">
            <v>423 99 00</v>
          </cell>
          <cell r="F780" t="str">
            <v>001</v>
          </cell>
        </row>
        <row r="781">
          <cell r="A781" t="str">
            <v>Услуги по содержанию иммущества</v>
          </cell>
          <cell r="B781" t="str">
            <v>905</v>
          </cell>
          <cell r="C781" t="str">
            <v>07</v>
          </cell>
          <cell r="D781" t="str">
            <v>02</v>
          </cell>
          <cell r="E781" t="str">
            <v>423 99 00</v>
          </cell>
          <cell r="F781" t="str">
            <v>001</v>
          </cell>
        </row>
        <row r="782">
          <cell r="A782" t="str">
            <v>Услуги по содержанию иммущества 8.40.01</v>
          </cell>
          <cell r="B782" t="str">
            <v>905</v>
          </cell>
          <cell r="C782" t="str">
            <v>07</v>
          </cell>
          <cell r="D782" t="str">
            <v>02</v>
          </cell>
          <cell r="E782" t="str">
            <v>423 99 00</v>
          </cell>
          <cell r="F782" t="str">
            <v>001</v>
          </cell>
        </row>
        <row r="783">
          <cell r="A783" t="str">
            <v>Услуги по содержанию иммущества 8.40.02</v>
          </cell>
          <cell r="B783" t="str">
            <v>905</v>
          </cell>
          <cell r="C783" t="str">
            <v>07</v>
          </cell>
          <cell r="D783" t="str">
            <v>02</v>
          </cell>
          <cell r="E783" t="str">
            <v>423 99 00</v>
          </cell>
          <cell r="F783" t="str">
            <v>001</v>
          </cell>
        </row>
        <row r="784">
          <cell r="A784" t="str">
            <v>Прочие услуги</v>
          </cell>
          <cell r="B784" t="str">
            <v>905</v>
          </cell>
          <cell r="C784" t="str">
            <v>07</v>
          </cell>
          <cell r="D784" t="str">
            <v>02</v>
          </cell>
          <cell r="E784" t="str">
            <v>423 99 00</v>
          </cell>
          <cell r="F784" t="str">
            <v>001</v>
          </cell>
        </row>
        <row r="785">
          <cell r="A785" t="str">
            <v>Социальное обеспечение</v>
          </cell>
          <cell r="B785" t="str">
            <v>905</v>
          </cell>
          <cell r="C785" t="str">
            <v>07</v>
          </cell>
          <cell r="D785" t="str">
            <v>02</v>
          </cell>
          <cell r="E785" t="str">
            <v>423 99 00</v>
          </cell>
          <cell r="F785" t="str">
            <v>001</v>
          </cell>
        </row>
        <row r="786">
          <cell r="A786" t="str">
            <v>Пособия по социальной помощи населению</v>
          </cell>
          <cell r="B786" t="str">
            <v>905</v>
          </cell>
          <cell r="C786" t="str">
            <v>07</v>
          </cell>
          <cell r="D786" t="str">
            <v>02</v>
          </cell>
          <cell r="E786" t="str">
            <v>423 99 00</v>
          </cell>
          <cell r="F786" t="str">
            <v>001</v>
          </cell>
        </row>
        <row r="787">
          <cell r="A787" t="str">
            <v>Прочие расходы </v>
          </cell>
          <cell r="B787" t="str">
            <v>905</v>
          </cell>
          <cell r="C787" t="str">
            <v>07</v>
          </cell>
          <cell r="D787" t="str">
            <v>02</v>
          </cell>
          <cell r="E787" t="str">
            <v>423 99 00</v>
          </cell>
          <cell r="F787" t="str">
            <v>001</v>
          </cell>
        </row>
        <row r="788">
          <cell r="A788" t="str">
            <v>Поступление нефинансовых активов</v>
          </cell>
          <cell r="B788" t="str">
            <v>905</v>
          </cell>
          <cell r="C788" t="str">
            <v>07</v>
          </cell>
          <cell r="D788" t="str">
            <v>02</v>
          </cell>
          <cell r="E788" t="str">
            <v>423 99 00</v>
          </cell>
          <cell r="F788" t="str">
            <v>001</v>
          </cell>
        </row>
        <row r="789">
          <cell r="A789" t="str">
            <v>Увеличение стоимости основных средств</v>
          </cell>
          <cell r="B789" t="str">
            <v>905</v>
          </cell>
          <cell r="C789" t="str">
            <v>07</v>
          </cell>
          <cell r="D789" t="str">
            <v>02</v>
          </cell>
          <cell r="E789" t="str">
            <v>423 99 00</v>
          </cell>
          <cell r="F789" t="str">
            <v>001</v>
          </cell>
        </row>
        <row r="790">
          <cell r="A790" t="str">
            <v>Увеличение стоимости материальных запасов</v>
          </cell>
          <cell r="B790" t="str">
            <v>905</v>
          </cell>
          <cell r="C790" t="str">
            <v>07</v>
          </cell>
          <cell r="D790" t="str">
            <v>02</v>
          </cell>
          <cell r="E790" t="str">
            <v>423 99 00</v>
          </cell>
          <cell r="F790" t="str">
            <v>001</v>
          </cell>
        </row>
        <row r="791">
          <cell r="A791" t="str">
            <v>Увеличение стоимости материальных запасов 8,40,02</v>
          </cell>
          <cell r="B791" t="str">
            <v>901</v>
          </cell>
          <cell r="C791" t="str">
            <v>07</v>
          </cell>
          <cell r="D791" t="str">
            <v>02</v>
          </cell>
          <cell r="E791" t="str">
            <v>424 00 00</v>
          </cell>
          <cell r="F791" t="str">
            <v>000</v>
          </cell>
        </row>
        <row r="792">
          <cell r="A792" t="str">
            <v>Увеличение стоимости материальных запасов 8,40,03</v>
          </cell>
          <cell r="B792" t="str">
            <v>901</v>
          </cell>
          <cell r="C792" t="str">
            <v>07</v>
          </cell>
          <cell r="D792" t="str">
            <v>02</v>
          </cell>
          <cell r="E792" t="str">
            <v>424 00 00</v>
          </cell>
          <cell r="F792" t="str">
            <v>327</v>
          </cell>
        </row>
        <row r="793">
          <cell r="A793" t="str">
            <v>Увеличение стоимости материальных запасов 8,40,04</v>
          </cell>
          <cell r="B793" t="str">
            <v>901</v>
          </cell>
          <cell r="C793" t="str">
            <v>07</v>
          </cell>
          <cell r="D793" t="str">
            <v>02</v>
          </cell>
          <cell r="E793" t="str">
            <v>424 00 00</v>
          </cell>
          <cell r="F793" t="str">
            <v>327</v>
          </cell>
        </row>
        <row r="794">
          <cell r="A794" t="str">
            <v>Увеличение стоимости материальных запасов 8,40,05</v>
          </cell>
          <cell r="B794" t="str">
            <v>901</v>
          </cell>
          <cell r="C794" t="str">
            <v>07</v>
          </cell>
          <cell r="D794" t="str">
            <v>02</v>
          </cell>
          <cell r="E794" t="str">
            <v>424 00 00</v>
          </cell>
          <cell r="F794" t="str">
            <v>327</v>
          </cell>
        </row>
        <row r="795">
          <cell r="A795" t="str">
            <v>Увеличение стоимости материальных запасов 8,40,06</v>
          </cell>
          <cell r="B795" t="str">
            <v>901</v>
          </cell>
          <cell r="C795" t="str">
            <v>07</v>
          </cell>
          <cell r="D795" t="str">
            <v>02</v>
          </cell>
          <cell r="E795" t="str">
            <v>424 00 00</v>
          </cell>
          <cell r="F795" t="str">
            <v>327</v>
          </cell>
        </row>
        <row r="796">
          <cell r="A796" t="str">
            <v>Увеличение стоимости материальных запасов 8,40,07</v>
          </cell>
          <cell r="B796" t="str">
            <v>901</v>
          </cell>
          <cell r="C796" t="str">
            <v>07</v>
          </cell>
          <cell r="D796" t="str">
            <v>02</v>
          </cell>
          <cell r="E796" t="str">
            <v>424 00 00</v>
          </cell>
          <cell r="F796" t="str">
            <v>327</v>
          </cell>
        </row>
        <row r="797">
          <cell r="A797" t="str">
            <v>Увеличение стоимости материальных запасов 8,40,08</v>
          </cell>
          <cell r="B797" t="str">
            <v>901</v>
          </cell>
          <cell r="C797" t="str">
            <v>07</v>
          </cell>
          <cell r="D797" t="str">
            <v>02</v>
          </cell>
          <cell r="E797" t="str">
            <v>424 00 00</v>
          </cell>
          <cell r="F797" t="str">
            <v>327</v>
          </cell>
        </row>
        <row r="798">
          <cell r="A798" t="str">
            <v>Увеличение стоимости материальных запасов 8,40,09</v>
          </cell>
          <cell r="B798" t="str">
            <v>901</v>
          </cell>
          <cell r="C798" t="str">
            <v>07</v>
          </cell>
          <cell r="D798" t="str">
            <v>02</v>
          </cell>
          <cell r="E798" t="str">
            <v>424 00 00</v>
          </cell>
          <cell r="F798" t="str">
            <v>327</v>
          </cell>
        </row>
        <row r="799">
          <cell r="A799" t="str">
            <v>Увеличение стоимости материальных запасов 8,40,10</v>
          </cell>
          <cell r="B799" t="str">
            <v>901</v>
          </cell>
          <cell r="C799" t="str">
            <v>07</v>
          </cell>
          <cell r="D799" t="str">
            <v>02</v>
          </cell>
          <cell r="E799" t="str">
            <v>424 00 00</v>
          </cell>
          <cell r="F799" t="str">
            <v>327</v>
          </cell>
        </row>
        <row r="800">
          <cell r="A800" t="str">
            <v>Увеличение стоимости материальных запасов 8,40,11</v>
          </cell>
          <cell r="B800" t="str">
            <v>901</v>
          </cell>
          <cell r="C800" t="str">
            <v>07</v>
          </cell>
          <cell r="D800" t="str">
            <v>02</v>
          </cell>
          <cell r="E800" t="str">
            <v>424 00 00</v>
          </cell>
          <cell r="F800" t="str">
            <v>327</v>
          </cell>
        </row>
        <row r="801">
          <cell r="A801" t="str">
            <v>Увеличение стоимости материальных запасов 8,40,12</v>
          </cell>
          <cell r="B801" t="str">
            <v>901</v>
          </cell>
          <cell r="C801" t="str">
            <v>07</v>
          </cell>
          <cell r="D801" t="str">
            <v>02</v>
          </cell>
          <cell r="E801" t="str">
            <v>424 00 00</v>
          </cell>
          <cell r="F801" t="str">
            <v>327</v>
          </cell>
        </row>
        <row r="802">
          <cell r="A802" t="str">
            <v>Увеличение стоимости материальных запасов 8,40,13</v>
          </cell>
          <cell r="B802" t="str">
            <v>901</v>
          </cell>
          <cell r="C802" t="str">
            <v>07</v>
          </cell>
          <cell r="D802" t="str">
            <v>02</v>
          </cell>
          <cell r="E802" t="str">
            <v>424 00 00</v>
          </cell>
          <cell r="F802" t="str">
            <v>327</v>
          </cell>
        </row>
        <row r="803">
          <cell r="A803" t="str">
            <v>Увеличение стоимости материальных запасов 8,40,14</v>
          </cell>
          <cell r="B803" t="str">
            <v>901</v>
          </cell>
          <cell r="C803" t="str">
            <v>07</v>
          </cell>
          <cell r="D803" t="str">
            <v>02</v>
          </cell>
          <cell r="E803" t="str">
            <v>424 00 00</v>
          </cell>
          <cell r="F803" t="str">
            <v>327</v>
          </cell>
        </row>
        <row r="804">
          <cell r="A804" t="str">
            <v>Увеличение стоимости материальных запасов 8,40,15</v>
          </cell>
          <cell r="B804" t="str">
            <v>901</v>
          </cell>
          <cell r="C804" t="str">
            <v>07</v>
          </cell>
          <cell r="D804" t="str">
            <v>02</v>
          </cell>
          <cell r="E804" t="str">
            <v>424 00 00</v>
          </cell>
          <cell r="F804" t="str">
            <v>327</v>
          </cell>
        </row>
        <row r="805">
          <cell r="A805" t="str">
            <v>Увеличение стоимости материальных запасов 8,40,16</v>
          </cell>
          <cell r="B805" t="str">
            <v>901</v>
          </cell>
          <cell r="C805" t="str">
            <v>07</v>
          </cell>
          <cell r="D805" t="str">
            <v>02</v>
          </cell>
          <cell r="E805" t="str">
            <v>424 00 00</v>
          </cell>
          <cell r="F805" t="str">
            <v>327</v>
          </cell>
        </row>
        <row r="806">
          <cell r="A806" t="str">
            <v>Увеличение стоимости материальных запасов 8,40,17</v>
          </cell>
          <cell r="B806" t="str">
            <v>901</v>
          </cell>
          <cell r="C806" t="str">
            <v>07</v>
          </cell>
          <cell r="D806" t="str">
            <v>02</v>
          </cell>
          <cell r="E806" t="str">
            <v>424 00 00</v>
          </cell>
          <cell r="F806" t="str">
            <v>327</v>
          </cell>
        </row>
        <row r="807">
          <cell r="A807" t="str">
            <v>Увеличение стоимости материальных запасов 8,40,18</v>
          </cell>
          <cell r="B807" t="str">
            <v>901</v>
          </cell>
          <cell r="C807" t="str">
            <v>07</v>
          </cell>
          <cell r="D807" t="str">
            <v>02</v>
          </cell>
          <cell r="E807" t="str">
            <v>424 00 00</v>
          </cell>
          <cell r="F807" t="str">
            <v>327</v>
          </cell>
        </row>
        <row r="808">
          <cell r="A808" t="str">
            <v>Увеличение стоимости материальных запасов 8,40,02</v>
          </cell>
          <cell r="B808" t="str">
            <v>905</v>
          </cell>
          <cell r="C808" t="str">
            <v>07</v>
          </cell>
          <cell r="D808" t="str">
            <v>02</v>
          </cell>
          <cell r="E808" t="str">
            <v>423 99 00</v>
          </cell>
          <cell r="F808" t="str">
            <v>001</v>
          </cell>
        </row>
        <row r="809">
          <cell r="A809" t="str">
            <v>Целевые программы муниципальных образований </v>
          </cell>
          <cell r="B809" t="str">
            <v>905</v>
          </cell>
          <cell r="C809" t="str">
            <v>07</v>
          </cell>
          <cell r="D809" t="str">
            <v>02</v>
          </cell>
          <cell r="E809" t="str">
            <v>795 00 00</v>
          </cell>
          <cell r="F809" t="str">
            <v>000</v>
          </cell>
        </row>
        <row r="810">
          <cell r="A810" t="str">
            <v>Выполнение функций органами местного самоуправления</v>
          </cell>
          <cell r="B810" t="str">
            <v>905</v>
          </cell>
          <cell r="C810" t="str">
            <v>07</v>
          </cell>
          <cell r="D810" t="str">
            <v>02</v>
          </cell>
          <cell r="E810" t="str">
            <v>795 00 00</v>
          </cell>
          <cell r="F810" t="str">
            <v>500</v>
          </cell>
        </row>
        <row r="811">
          <cell r="A811" t="str">
            <v>Расходы</v>
          </cell>
          <cell r="B811" t="str">
            <v>905</v>
          </cell>
          <cell r="C811" t="str">
            <v>07</v>
          </cell>
          <cell r="D811" t="str">
            <v>02</v>
          </cell>
          <cell r="E811" t="str">
            <v>795 00 00</v>
          </cell>
          <cell r="F811" t="str">
            <v>500</v>
          </cell>
        </row>
        <row r="812">
          <cell r="A812" t="str">
            <v>Приобретение услуг</v>
          </cell>
          <cell r="B812" t="str">
            <v>905</v>
          </cell>
          <cell r="C812" t="str">
            <v>07</v>
          </cell>
          <cell r="D812" t="str">
            <v>02</v>
          </cell>
          <cell r="E812" t="str">
            <v>795 00 00</v>
          </cell>
          <cell r="F812" t="str">
            <v>500</v>
          </cell>
        </row>
        <row r="813">
          <cell r="A813" t="str">
            <v>Услуги по содержанию иммущества</v>
          </cell>
          <cell r="B813" t="str">
            <v>905</v>
          </cell>
          <cell r="C813" t="str">
            <v>07</v>
          </cell>
          <cell r="D813" t="str">
            <v>02</v>
          </cell>
          <cell r="E813" t="str">
            <v>795 00 00</v>
          </cell>
          <cell r="F813" t="str">
            <v>500</v>
          </cell>
        </row>
        <row r="814">
          <cell r="A814" t="str">
            <v>Прочие услуги</v>
          </cell>
          <cell r="B814" t="str">
            <v>905</v>
          </cell>
          <cell r="C814" t="str">
            <v>07</v>
          </cell>
          <cell r="D814" t="str">
            <v>02</v>
          </cell>
          <cell r="E814" t="str">
            <v>795 18 00</v>
          </cell>
          <cell r="F814" t="str">
            <v>500</v>
          </cell>
        </row>
        <row r="815">
          <cell r="A815" t="str">
            <v>Поступление нефинансовых активов</v>
          </cell>
          <cell r="B815" t="str">
            <v>905</v>
          </cell>
          <cell r="C815" t="str">
            <v>07</v>
          </cell>
          <cell r="D815" t="str">
            <v>02</v>
          </cell>
          <cell r="E815" t="str">
            <v>795 00 00</v>
          </cell>
          <cell r="F815" t="str">
            <v>500</v>
          </cell>
        </row>
        <row r="816">
          <cell r="A816" t="str">
            <v>Увеличение стоимости материальных запасов</v>
          </cell>
          <cell r="B816" t="str">
            <v>905</v>
          </cell>
          <cell r="C816" t="str">
            <v>07</v>
          </cell>
          <cell r="D816" t="str">
            <v>02</v>
          </cell>
          <cell r="E816" t="str">
            <v>795 00 00</v>
          </cell>
          <cell r="F816" t="str">
            <v>500</v>
          </cell>
        </row>
        <row r="820">
          <cell r="A820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C820" t="str">
            <v>07</v>
          </cell>
          <cell r="D820" t="str">
            <v>02</v>
          </cell>
          <cell r="E820" t="str">
            <v>589 00 00</v>
          </cell>
          <cell r="F820" t="str">
            <v>000</v>
          </cell>
        </row>
        <row r="821">
          <cell r="A821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B821" t="str">
            <v>903</v>
          </cell>
          <cell r="C821" t="str">
            <v>07</v>
          </cell>
          <cell r="D821" t="str">
            <v>02</v>
          </cell>
          <cell r="E821" t="str">
            <v>589 00 00</v>
          </cell>
          <cell r="F821" t="str">
            <v>000</v>
          </cell>
        </row>
        <row r="822">
          <cell r="A822" t="str">
            <v>Выполнение функций бюджетными учреждениями</v>
          </cell>
          <cell r="B822" t="str">
            <v>903</v>
          </cell>
          <cell r="C822" t="str">
            <v>07</v>
          </cell>
          <cell r="D822" t="str">
            <v>02</v>
          </cell>
          <cell r="E822" t="str">
            <v>589 00 00</v>
          </cell>
          <cell r="F822" t="str">
            <v>001</v>
          </cell>
        </row>
        <row r="823">
          <cell r="A823" t="str">
            <v>Субсидии некоммерческим организациям</v>
          </cell>
          <cell r="B823" t="str">
            <v>903</v>
          </cell>
          <cell r="C823" t="str">
            <v>07</v>
          </cell>
          <cell r="D823" t="str">
            <v>02</v>
          </cell>
          <cell r="E823" t="str">
            <v>589 00 00</v>
          </cell>
          <cell r="F823" t="str">
            <v>019</v>
          </cell>
        </row>
        <row r="824">
          <cell r="A824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B824" t="str">
            <v>905</v>
          </cell>
          <cell r="C824" t="str">
            <v>07</v>
          </cell>
          <cell r="D824" t="str">
            <v>02</v>
          </cell>
          <cell r="E824" t="str">
            <v>589 00 00</v>
          </cell>
          <cell r="F824" t="str">
            <v>000</v>
          </cell>
        </row>
        <row r="825">
          <cell r="A825" t="str">
            <v>Выполнение функций бюджетными учреждениями</v>
          </cell>
          <cell r="B825" t="str">
            <v>905</v>
          </cell>
          <cell r="C825" t="str">
            <v>07</v>
          </cell>
          <cell r="D825" t="str">
            <v>02</v>
          </cell>
          <cell r="E825" t="str">
            <v>589 00 00</v>
          </cell>
          <cell r="F825" t="str">
            <v>001</v>
          </cell>
        </row>
        <row r="826">
          <cell r="A826" t="str">
            <v>Субсидии некоммерческим организациям</v>
          </cell>
          <cell r="B826" t="str">
            <v>905</v>
          </cell>
          <cell r="C826" t="str">
            <v>07</v>
          </cell>
          <cell r="D826" t="str">
            <v>02</v>
          </cell>
          <cell r="E826" t="str">
            <v>589 00 00</v>
          </cell>
          <cell r="F826" t="str">
            <v>019</v>
          </cell>
        </row>
        <row r="827">
          <cell r="A827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827" t="str">
            <v>905</v>
          </cell>
          <cell r="C827" t="str">
            <v>07</v>
          </cell>
          <cell r="D827" t="str">
            <v>02</v>
          </cell>
          <cell r="E827" t="str">
            <v>590 00 00</v>
          </cell>
          <cell r="F827" t="str">
            <v>000</v>
          </cell>
        </row>
        <row r="828">
          <cell r="A828" t="str">
            <v>Субсидии некоммерческим организациям</v>
          </cell>
          <cell r="B828" t="str">
            <v>905</v>
          </cell>
          <cell r="C828" t="str">
            <v>07</v>
          </cell>
          <cell r="D828" t="str">
            <v>02</v>
          </cell>
          <cell r="E828" t="str">
            <v>590 00 00</v>
          </cell>
          <cell r="F828" t="str">
            <v>019</v>
          </cell>
        </row>
        <row r="829">
          <cell r="A829" t="str">
            <v>Иные безвозмездные и безвозвратные перечисления</v>
          </cell>
          <cell r="B829" t="str">
            <v>903</v>
          </cell>
          <cell r="C829" t="str">
            <v>07</v>
          </cell>
          <cell r="D829" t="str">
            <v>02</v>
          </cell>
          <cell r="E829" t="str">
            <v>520 00 00</v>
          </cell>
          <cell r="F829" t="str">
            <v>000</v>
          </cell>
        </row>
        <row r="830">
          <cell r="A830" t="str">
            <v>Ежемесячное денежное вознаграждение за классное руководство</v>
          </cell>
          <cell r="B830" t="str">
            <v>903</v>
          </cell>
          <cell r="C830" t="str">
            <v>07</v>
          </cell>
          <cell r="D830" t="str">
            <v>02</v>
          </cell>
          <cell r="E830" t="str">
            <v>520 09 00</v>
          </cell>
          <cell r="F830" t="str">
            <v>000</v>
          </cell>
        </row>
        <row r="831">
          <cell r="A831" t="str">
            <v>Выполнение функций бюджетными учреждениями</v>
          </cell>
          <cell r="B831" t="str">
            <v>903</v>
          </cell>
          <cell r="C831" t="str">
            <v>07</v>
          </cell>
          <cell r="D831" t="str">
            <v>02</v>
          </cell>
          <cell r="E831" t="str">
            <v>520 09 00</v>
          </cell>
          <cell r="F831" t="str">
            <v>001</v>
          </cell>
        </row>
        <row r="832">
          <cell r="A832" t="str">
            <v>Расходы</v>
          </cell>
          <cell r="B832" t="str">
            <v>903</v>
          </cell>
          <cell r="C832" t="str">
            <v>07</v>
          </cell>
          <cell r="D832" t="str">
            <v>02</v>
          </cell>
          <cell r="E832" t="str">
            <v>520 09 00</v>
          </cell>
          <cell r="F832" t="str">
            <v>001</v>
          </cell>
        </row>
        <row r="833">
          <cell r="A833" t="str">
            <v>Оплата труда и начисления на оплату труда</v>
          </cell>
          <cell r="B833" t="str">
            <v>903</v>
          </cell>
          <cell r="C833" t="str">
            <v>07</v>
          </cell>
          <cell r="D833" t="str">
            <v>02</v>
          </cell>
          <cell r="E833" t="str">
            <v>520 09 00</v>
          </cell>
          <cell r="F833" t="str">
            <v>001</v>
          </cell>
        </row>
        <row r="834">
          <cell r="A834" t="str">
            <v>Заработная плата</v>
          </cell>
          <cell r="B834" t="str">
            <v>903</v>
          </cell>
          <cell r="C834" t="str">
            <v>07</v>
          </cell>
          <cell r="D834" t="str">
            <v>02</v>
          </cell>
          <cell r="E834" t="str">
            <v>520 09 00</v>
          </cell>
          <cell r="F834" t="str">
            <v>001</v>
          </cell>
        </row>
        <row r="835">
          <cell r="A835" t="str">
            <v>Иные безвозмездные и безвозвратные перичесления </v>
          </cell>
          <cell r="B835" t="str">
            <v>903</v>
          </cell>
          <cell r="C835" t="str">
            <v>07</v>
          </cell>
          <cell r="D835" t="str">
            <v>02</v>
          </cell>
          <cell r="E835" t="str">
            <v>520 09 00</v>
          </cell>
          <cell r="F835" t="str">
            <v>000</v>
          </cell>
        </row>
        <row r="836">
          <cell r="A836" t="str">
            <v>Внедрение инновационных общеобразовательных программ в государственных и муниципальных организациях</v>
          </cell>
          <cell r="B836" t="str">
            <v>903</v>
          </cell>
          <cell r="C836" t="str">
            <v>07</v>
          </cell>
          <cell r="D836" t="str">
            <v>02</v>
          </cell>
          <cell r="E836" t="str">
            <v>520 09 00</v>
          </cell>
          <cell r="F836" t="str">
            <v>621</v>
          </cell>
        </row>
        <row r="837">
          <cell r="A837" t="str">
            <v>Безвозмездные и безвозвратные перечисления государственным и муниципальным организациям</v>
          </cell>
          <cell r="B837" t="str">
            <v>903</v>
          </cell>
          <cell r="C837" t="str">
            <v>07</v>
          </cell>
          <cell r="D837" t="str">
            <v>02</v>
          </cell>
          <cell r="E837" t="str">
            <v>520 09 00</v>
          </cell>
          <cell r="F837" t="str">
            <v>621</v>
          </cell>
        </row>
        <row r="838">
          <cell r="A838" t="str">
            <v>Субсидии некоммерческим организациям</v>
          </cell>
          <cell r="B838" t="str">
            <v>903</v>
          </cell>
          <cell r="C838" t="str">
            <v>07</v>
          </cell>
          <cell r="D838" t="str">
            <v>02</v>
          </cell>
          <cell r="E838" t="str">
            <v>520 09 00</v>
          </cell>
          <cell r="F838" t="str">
            <v>019</v>
          </cell>
        </row>
        <row r="839">
          <cell r="A839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839" t="str">
            <v>903</v>
          </cell>
          <cell r="C839" t="str">
            <v>07</v>
          </cell>
          <cell r="D839" t="str">
            <v>02</v>
          </cell>
          <cell r="E839" t="str">
            <v>590 00 00</v>
          </cell>
          <cell r="F839" t="str">
            <v>000</v>
          </cell>
        </row>
        <row r="840">
          <cell r="A840" t="str">
            <v>Выполнение функций бюджетными учреждениями</v>
          </cell>
          <cell r="B840" t="str">
            <v>903</v>
          </cell>
          <cell r="C840" t="str">
            <v>07</v>
          </cell>
          <cell r="D840" t="str">
            <v>02</v>
          </cell>
          <cell r="E840" t="str">
            <v>590 00 00</v>
          </cell>
          <cell r="F840" t="str">
            <v>001</v>
          </cell>
        </row>
        <row r="842">
          <cell r="A842" t="str">
            <v>Субсидии некоммерческим организациям</v>
          </cell>
          <cell r="B842" t="str">
            <v>903</v>
          </cell>
          <cell r="C842" t="str">
            <v>07</v>
          </cell>
          <cell r="D842" t="str">
            <v>02</v>
          </cell>
          <cell r="E842" t="str">
            <v>590 00 00</v>
          </cell>
          <cell r="F842" t="str">
            <v>019</v>
          </cell>
        </row>
        <row r="843">
          <cell r="A843" t="str">
            <v>Софинансирование ДЦП Иркутской области "Доступная среда для инвалидов" на 2011-2015 годы (Доп.ЭК 8.70.07.00)</v>
          </cell>
          <cell r="B843" t="str">
            <v>903</v>
          </cell>
          <cell r="C843" t="str">
            <v>07</v>
          </cell>
          <cell r="D843" t="str">
            <v>02</v>
          </cell>
          <cell r="E843" t="str">
            <v>421 99 00</v>
          </cell>
          <cell r="F843" t="str">
            <v>000</v>
          </cell>
        </row>
        <row r="844">
          <cell r="A844" t="str">
            <v>Выполнение функций органами местного самоуправления</v>
          </cell>
          <cell r="B844" t="str">
            <v>903</v>
          </cell>
          <cell r="C844" t="str">
            <v>07</v>
          </cell>
          <cell r="D844" t="str">
            <v>02</v>
          </cell>
          <cell r="E844" t="str">
            <v>421 99 00</v>
          </cell>
          <cell r="F844" t="str">
            <v>019</v>
          </cell>
        </row>
        <row r="845">
          <cell r="A845" t="str">
            <v>Молодежная политика и оздоровление детей</v>
          </cell>
          <cell r="C845" t="str">
            <v>07</v>
          </cell>
          <cell r="D845" t="str">
            <v>07</v>
          </cell>
          <cell r="E845" t="str">
            <v>000 00 00</v>
          </cell>
          <cell r="F845" t="str">
            <v>000</v>
          </cell>
        </row>
        <row r="846">
          <cell r="B846" t="str">
            <v>901</v>
          </cell>
          <cell r="C846" t="str">
            <v>07</v>
          </cell>
          <cell r="D846" t="str">
            <v>07</v>
          </cell>
          <cell r="E846" t="str">
            <v>001 00 00</v>
          </cell>
          <cell r="F846" t="str">
            <v>000</v>
          </cell>
        </row>
        <row r="847">
          <cell r="B847" t="str">
            <v>901</v>
          </cell>
          <cell r="C847" t="str">
            <v>07</v>
          </cell>
          <cell r="D847" t="str">
            <v>07</v>
          </cell>
          <cell r="E847" t="str">
            <v>001 00 00</v>
          </cell>
          <cell r="F847" t="str">
            <v>005</v>
          </cell>
        </row>
        <row r="848">
          <cell r="B848" t="str">
            <v>901</v>
          </cell>
          <cell r="C848" t="str">
            <v>07</v>
          </cell>
          <cell r="D848" t="str">
            <v>07</v>
          </cell>
          <cell r="E848" t="str">
            <v>001 00 00</v>
          </cell>
          <cell r="F848" t="str">
            <v>005</v>
          </cell>
        </row>
        <row r="849">
          <cell r="B849" t="str">
            <v>901</v>
          </cell>
          <cell r="C849" t="str">
            <v>07</v>
          </cell>
          <cell r="D849" t="str">
            <v>07</v>
          </cell>
          <cell r="E849" t="str">
            <v>001 00 00</v>
          </cell>
          <cell r="F849" t="str">
            <v>005</v>
          </cell>
        </row>
        <row r="850">
          <cell r="A850" t="str">
            <v>Прочие выплаты</v>
          </cell>
          <cell r="B850" t="str">
            <v>901</v>
          </cell>
          <cell r="C850" t="str">
            <v>07</v>
          </cell>
          <cell r="D850" t="str">
            <v>07</v>
          </cell>
          <cell r="E850" t="str">
            <v>001 00 00</v>
          </cell>
          <cell r="F850" t="str">
            <v>005</v>
          </cell>
        </row>
        <row r="851">
          <cell r="A851" t="str">
            <v>Начисление на оплату труда</v>
          </cell>
          <cell r="B851" t="str">
            <v>901</v>
          </cell>
          <cell r="C851" t="str">
            <v>07</v>
          </cell>
          <cell r="D851" t="str">
            <v>07</v>
          </cell>
          <cell r="E851" t="str">
            <v>001 00 00</v>
          </cell>
          <cell r="F851" t="str">
            <v>005</v>
          </cell>
        </row>
        <row r="852">
          <cell r="A852" t="str">
            <v>Приобретение услуг</v>
          </cell>
          <cell r="B852" t="str">
            <v>901</v>
          </cell>
          <cell r="C852" t="str">
            <v>07</v>
          </cell>
          <cell r="D852" t="str">
            <v>07</v>
          </cell>
          <cell r="E852" t="str">
            <v>001 00 00</v>
          </cell>
          <cell r="F852" t="str">
            <v>005</v>
          </cell>
        </row>
        <row r="853">
          <cell r="A853" t="str">
            <v>Услуги связи </v>
          </cell>
          <cell r="B853" t="str">
            <v>901</v>
          </cell>
          <cell r="C853" t="str">
            <v>07</v>
          </cell>
          <cell r="D853" t="str">
            <v>07</v>
          </cell>
          <cell r="E853" t="str">
            <v>001 00 00</v>
          </cell>
          <cell r="F853" t="str">
            <v>005</v>
          </cell>
        </row>
        <row r="854">
          <cell r="A854" t="str">
            <v>Транспортные услуги</v>
          </cell>
          <cell r="B854" t="str">
            <v>901</v>
          </cell>
          <cell r="C854" t="str">
            <v>07</v>
          </cell>
          <cell r="D854" t="str">
            <v>07</v>
          </cell>
          <cell r="E854" t="str">
            <v>001 00 00</v>
          </cell>
          <cell r="F854" t="str">
            <v>005</v>
          </cell>
        </row>
        <row r="855">
          <cell r="A855" t="str">
            <v>Коммунальные услуги</v>
          </cell>
          <cell r="B855" t="str">
            <v>901</v>
          </cell>
          <cell r="C855" t="str">
            <v>07</v>
          </cell>
          <cell r="D855" t="str">
            <v>07</v>
          </cell>
          <cell r="E855" t="str">
            <v>001 00 00</v>
          </cell>
          <cell r="F855" t="str">
            <v>005</v>
          </cell>
        </row>
        <row r="856">
          <cell r="A856" t="str">
            <v>Арендная плата за пользование иммуществом </v>
          </cell>
          <cell r="B856" t="str">
            <v>901</v>
          </cell>
          <cell r="C856" t="str">
            <v>07</v>
          </cell>
          <cell r="D856" t="str">
            <v>07</v>
          </cell>
          <cell r="E856" t="str">
            <v>001 00 00</v>
          </cell>
          <cell r="F856" t="str">
            <v>005</v>
          </cell>
        </row>
        <row r="857">
          <cell r="A857" t="str">
            <v>Услуги по содержанию иммущества</v>
          </cell>
          <cell r="B857" t="str">
            <v>901</v>
          </cell>
          <cell r="C857" t="str">
            <v>07</v>
          </cell>
          <cell r="D857" t="str">
            <v>07</v>
          </cell>
          <cell r="E857" t="str">
            <v>001 00 00</v>
          </cell>
          <cell r="F857" t="str">
            <v>005</v>
          </cell>
        </row>
        <row r="858">
          <cell r="A858" t="str">
            <v>Прочие услуги</v>
          </cell>
          <cell r="B858" t="str">
            <v>901</v>
          </cell>
          <cell r="C858" t="str">
            <v>07</v>
          </cell>
          <cell r="D858" t="str">
            <v>07</v>
          </cell>
          <cell r="E858" t="str">
            <v>001 00 00</v>
          </cell>
          <cell r="F858" t="str">
            <v>005</v>
          </cell>
        </row>
        <row r="859">
          <cell r="A859" t="str">
            <v>Прочие расходы </v>
          </cell>
          <cell r="B859" t="str">
            <v>901</v>
          </cell>
          <cell r="C859" t="str">
            <v>07</v>
          </cell>
          <cell r="D859" t="str">
            <v>07</v>
          </cell>
          <cell r="E859" t="str">
            <v>001 00 00</v>
          </cell>
          <cell r="F859" t="str">
            <v>005</v>
          </cell>
        </row>
        <row r="860">
          <cell r="A860" t="str">
            <v>Поступление нефинансовых активов</v>
          </cell>
          <cell r="B860" t="str">
            <v>901</v>
          </cell>
          <cell r="C860" t="str">
            <v>07</v>
          </cell>
          <cell r="D860" t="str">
            <v>07</v>
          </cell>
          <cell r="E860" t="str">
            <v>001 00 00</v>
          </cell>
          <cell r="F860" t="str">
            <v>005</v>
          </cell>
        </row>
        <row r="861">
          <cell r="A861" t="str">
            <v>Увеличение стоимости основных средств</v>
          </cell>
          <cell r="B861" t="str">
            <v>901</v>
          </cell>
          <cell r="C861" t="str">
            <v>07</v>
          </cell>
          <cell r="D861" t="str">
            <v>07</v>
          </cell>
          <cell r="E861" t="str">
            <v>001 00 00</v>
          </cell>
          <cell r="F861" t="str">
            <v>005</v>
          </cell>
        </row>
        <row r="862">
          <cell r="A862" t="str">
            <v>Увеличение стоимости материальных запасов</v>
          </cell>
          <cell r="B862" t="str">
            <v>901</v>
          </cell>
          <cell r="C862" t="str">
            <v>07</v>
          </cell>
          <cell r="D862" t="str">
            <v>07</v>
          </cell>
          <cell r="E862" t="str">
            <v>001 00 00</v>
          </cell>
          <cell r="F862" t="str">
            <v>005</v>
          </cell>
        </row>
        <row r="863">
          <cell r="A863" t="str">
            <v>Организационно-воспитательная работа с молодежью</v>
          </cell>
          <cell r="B863" t="str">
            <v>905</v>
          </cell>
          <cell r="C863" t="str">
            <v>07</v>
          </cell>
          <cell r="D863" t="str">
            <v>07</v>
          </cell>
          <cell r="E863" t="str">
            <v>431 00 00</v>
          </cell>
          <cell r="F863" t="str">
            <v>000 </v>
          </cell>
        </row>
        <row r="864">
          <cell r="A864" t="str">
            <v>Организационно-воспитательная работа с молодежью</v>
          </cell>
          <cell r="B864" t="str">
            <v>905</v>
          </cell>
          <cell r="C864" t="str">
            <v>07</v>
          </cell>
          <cell r="D864" t="str">
            <v>07</v>
          </cell>
          <cell r="E864" t="str">
            <v>431 00 00</v>
          </cell>
          <cell r="F864" t="str">
            <v>000 </v>
          </cell>
        </row>
        <row r="865">
          <cell r="A865" t="str">
            <v>Проведение мероприятий для детей и молодежи</v>
          </cell>
          <cell r="B865" t="str">
            <v>905</v>
          </cell>
          <cell r="C865" t="str">
            <v>07</v>
          </cell>
          <cell r="D865" t="str">
            <v>07</v>
          </cell>
          <cell r="E865" t="str">
            <v>431 01 00</v>
          </cell>
          <cell r="F865" t="str">
            <v>000</v>
          </cell>
        </row>
        <row r="866">
          <cell r="A866" t="str">
            <v>Выполнение функций органами местного самоуправления</v>
          </cell>
          <cell r="B866" t="str">
            <v>905</v>
          </cell>
          <cell r="C866" t="str">
            <v>07</v>
          </cell>
          <cell r="D866" t="str">
            <v>07</v>
          </cell>
          <cell r="E866" t="str">
            <v>431 01 00</v>
          </cell>
          <cell r="F866" t="str">
            <v>500</v>
          </cell>
        </row>
        <row r="867">
          <cell r="A867" t="str">
            <v>Долгосрочная целевая программа Иркутской области «Организация и обеспечение отдыха и оздоровления детей в Иркутской области на 2012-2014 годы»</v>
          </cell>
          <cell r="B867" t="str">
            <v>903</v>
          </cell>
          <cell r="C867" t="str">
            <v>07</v>
          </cell>
          <cell r="D867" t="str">
            <v>07</v>
          </cell>
          <cell r="E867" t="str">
            <v>522 62 00</v>
          </cell>
          <cell r="F867" t="str">
            <v>000</v>
          </cell>
        </row>
        <row r="868">
          <cell r="A868" t="str">
            <v>Выполнение функций бюджетными учреждениями ОБ</v>
          </cell>
          <cell r="B868" t="str">
            <v>903</v>
          </cell>
          <cell r="C868" t="str">
            <v>07</v>
          </cell>
          <cell r="D868" t="str">
            <v>07</v>
          </cell>
          <cell r="E868" t="str">
            <v>522 62 00</v>
          </cell>
          <cell r="F868" t="str">
            <v>001</v>
          </cell>
        </row>
        <row r="869">
          <cell r="A869" t="str">
            <v>Выполнение функций бюджетными учреждениями МБ</v>
          </cell>
          <cell r="B869" t="str">
            <v>903</v>
          </cell>
          <cell r="C869" t="str">
            <v>07</v>
          </cell>
          <cell r="D869" t="str">
            <v>07</v>
          </cell>
          <cell r="E869" t="str">
            <v>522 62 01</v>
          </cell>
          <cell r="F869" t="str">
            <v>001</v>
          </cell>
        </row>
        <row r="870">
          <cell r="A870" t="str">
            <v>Субсидии некоммерческим организациям ОБ</v>
          </cell>
          <cell r="B870" t="str">
            <v>903</v>
          </cell>
          <cell r="C870" t="str">
            <v>07</v>
          </cell>
          <cell r="D870" t="str">
            <v>07</v>
          </cell>
          <cell r="E870" t="str">
            <v>522 62 00</v>
          </cell>
          <cell r="F870" t="str">
            <v>019</v>
          </cell>
        </row>
        <row r="871">
          <cell r="A871" t="str">
            <v>Субсидии некоммерческим организациям МБ</v>
          </cell>
          <cell r="B871" t="str">
            <v>903</v>
          </cell>
          <cell r="C871" t="str">
            <v>07</v>
          </cell>
          <cell r="D871" t="str">
            <v>07</v>
          </cell>
          <cell r="E871" t="str">
            <v>522 62 01</v>
          </cell>
          <cell r="F871" t="str">
            <v>019</v>
          </cell>
        </row>
        <row r="872">
          <cell r="A872" t="str">
            <v>Транспортные услуги</v>
          </cell>
          <cell r="B872" t="str">
            <v>905</v>
          </cell>
          <cell r="C872" t="str">
            <v>07</v>
          </cell>
          <cell r="D872" t="str">
            <v>07</v>
          </cell>
          <cell r="E872" t="str">
            <v>431 01 00</v>
          </cell>
          <cell r="F872" t="str">
            <v>500</v>
          </cell>
        </row>
        <row r="873">
          <cell r="A873" t="str">
            <v>Прочие услуги</v>
          </cell>
          <cell r="B873" t="str">
            <v>905</v>
          </cell>
          <cell r="C873" t="str">
            <v>07</v>
          </cell>
          <cell r="D873" t="str">
            <v>07</v>
          </cell>
          <cell r="E873" t="str">
            <v>431 01 00</v>
          </cell>
          <cell r="F873" t="str">
            <v>500</v>
          </cell>
        </row>
        <row r="874">
          <cell r="A874" t="str">
            <v>Прочие расходы </v>
          </cell>
          <cell r="B874" t="str">
            <v>905</v>
          </cell>
          <cell r="C874" t="str">
            <v>07</v>
          </cell>
          <cell r="D874" t="str">
            <v>07</v>
          </cell>
          <cell r="E874" t="str">
            <v>431 01 00</v>
          </cell>
          <cell r="F874" t="str">
            <v>500</v>
          </cell>
        </row>
        <row r="875">
          <cell r="A875" t="str">
            <v>Поступление нефинансовых активов</v>
          </cell>
          <cell r="B875" t="str">
            <v>905</v>
          </cell>
          <cell r="C875" t="str">
            <v>07</v>
          </cell>
          <cell r="D875" t="str">
            <v>07</v>
          </cell>
          <cell r="E875" t="str">
            <v>431 01 00</v>
          </cell>
          <cell r="F875" t="str">
            <v>500</v>
          </cell>
        </row>
        <row r="876">
          <cell r="A876" t="str">
            <v>Увеличение стоимости основных средств</v>
          </cell>
          <cell r="B876" t="str">
            <v>905</v>
          </cell>
          <cell r="C876" t="str">
            <v>07</v>
          </cell>
          <cell r="D876" t="str">
            <v>07</v>
          </cell>
          <cell r="E876" t="str">
            <v>431 01 00</v>
          </cell>
          <cell r="F876" t="str">
            <v>500</v>
          </cell>
        </row>
        <row r="877">
          <cell r="A877" t="str">
            <v>Увеличение стоимости материальных запасов </v>
          </cell>
          <cell r="B877" t="str">
            <v>905</v>
          </cell>
          <cell r="C877" t="str">
            <v>07</v>
          </cell>
          <cell r="D877" t="str">
            <v>07</v>
          </cell>
          <cell r="E877" t="str">
            <v>431 01 00</v>
          </cell>
          <cell r="F877" t="str">
            <v>500</v>
          </cell>
        </row>
        <row r="878">
          <cell r="A878" t="str">
            <v>Мероприятия по проведению оздоровительной кампании детей </v>
          </cell>
          <cell r="B878" t="str">
            <v>903</v>
          </cell>
          <cell r="C878" t="str">
            <v>07</v>
          </cell>
          <cell r="D878" t="str">
            <v>07</v>
          </cell>
          <cell r="E878" t="str">
            <v>432 00 00</v>
          </cell>
          <cell r="F878" t="str">
            <v>000</v>
          </cell>
        </row>
        <row r="879">
          <cell r="A879" t="str">
            <v>Оздоровление детей </v>
          </cell>
          <cell r="B879" t="str">
            <v>903</v>
          </cell>
          <cell r="C879" t="str">
            <v>07</v>
          </cell>
          <cell r="D879" t="str">
            <v>07</v>
          </cell>
          <cell r="E879" t="str">
            <v>432 00 00</v>
          </cell>
          <cell r="F879" t="str">
            <v>000</v>
          </cell>
        </row>
        <row r="880">
          <cell r="A880" t="str">
            <v>Выполнение функций бюджетными учреждениями</v>
          </cell>
          <cell r="B880" t="str">
            <v>903</v>
          </cell>
          <cell r="C880" t="str">
            <v>07</v>
          </cell>
          <cell r="D880" t="str">
            <v>07</v>
          </cell>
          <cell r="E880" t="str">
            <v>432 03 00</v>
          </cell>
          <cell r="F880" t="str">
            <v>001</v>
          </cell>
        </row>
        <row r="881">
          <cell r="A881" t="str">
            <v>Поступление нефинансовых активов</v>
          </cell>
          <cell r="B881" t="str">
            <v>903</v>
          </cell>
          <cell r="C881" t="str">
            <v>07</v>
          </cell>
          <cell r="D881" t="str">
            <v>07</v>
          </cell>
          <cell r="E881" t="str">
            <v>432 03 00</v>
          </cell>
          <cell r="F881" t="str">
            <v>001</v>
          </cell>
        </row>
        <row r="882">
          <cell r="A882" t="str">
            <v>Увеличение стоимости материальных запасов  ОБ</v>
          </cell>
          <cell r="B882" t="str">
            <v>903</v>
          </cell>
          <cell r="C882" t="str">
            <v>07</v>
          </cell>
          <cell r="D882" t="str">
            <v>07</v>
          </cell>
          <cell r="E882" t="str">
            <v>432 03 01</v>
          </cell>
          <cell r="F882" t="str">
            <v>001</v>
          </cell>
        </row>
        <row r="883">
          <cell r="A883" t="str">
            <v>Увеличение стоимости материальных запасов МБ</v>
          </cell>
          <cell r="B883" t="str">
            <v>903</v>
          </cell>
          <cell r="C883" t="str">
            <v>07</v>
          </cell>
          <cell r="D883" t="str">
            <v>07</v>
          </cell>
          <cell r="E883" t="str">
            <v>432 03 02</v>
          </cell>
          <cell r="F883" t="str">
            <v>500</v>
          </cell>
        </row>
        <row r="884">
          <cell r="A884" t="str">
            <v>Целевые программы муниципальных образований </v>
          </cell>
          <cell r="C884" t="str">
            <v>07</v>
          </cell>
          <cell r="D884" t="str">
            <v>07</v>
          </cell>
          <cell r="E884" t="str">
            <v>795 00 00</v>
          </cell>
          <cell r="F884" t="str">
            <v>000</v>
          </cell>
        </row>
        <row r="885">
          <cell r="A885" t="str">
            <v>Круглогодичный отдых ,оздоровление и занятость детей и подростков  в 2012 г</v>
          </cell>
          <cell r="C885" t="str">
            <v>07</v>
          </cell>
          <cell r="D885" t="str">
            <v>07</v>
          </cell>
          <cell r="E885" t="str">
            <v>795 04 00</v>
          </cell>
          <cell r="F885" t="str">
            <v>000</v>
          </cell>
        </row>
        <row r="886">
          <cell r="A886" t="str">
            <v>Выполнение функций органами местного самоуправления</v>
          </cell>
          <cell r="B886" t="str">
            <v>903</v>
          </cell>
          <cell r="C886" t="str">
            <v>07</v>
          </cell>
          <cell r="D886" t="str">
            <v>07</v>
          </cell>
          <cell r="E886" t="str">
            <v>795 04 00</v>
          </cell>
          <cell r="F886" t="str">
            <v>500</v>
          </cell>
        </row>
        <row r="887">
          <cell r="A887" t="str">
            <v>Выполнение функций органами местного самоуправления</v>
          </cell>
          <cell r="B887" t="str">
            <v>905</v>
          </cell>
          <cell r="C887" t="str">
            <v>07</v>
          </cell>
          <cell r="D887" t="str">
            <v>07</v>
          </cell>
          <cell r="E887" t="str">
            <v>795 04 00</v>
          </cell>
          <cell r="F887" t="str">
            <v>500</v>
          </cell>
        </row>
        <row r="888">
          <cell r="A888" t="str">
            <v>Выполнение функций органами местного самоуправления</v>
          </cell>
          <cell r="B888" t="str">
            <v>904</v>
          </cell>
          <cell r="C888" t="str">
            <v>07</v>
          </cell>
          <cell r="D888" t="str">
            <v>07</v>
          </cell>
          <cell r="E888" t="str">
            <v>795 04 00</v>
          </cell>
          <cell r="F888" t="str">
            <v>500</v>
          </cell>
        </row>
        <row r="889">
          <cell r="A889" t="str">
            <v>Выполнение функций органами местного самоуправления</v>
          </cell>
          <cell r="B889" t="str">
            <v>902</v>
          </cell>
          <cell r="C889" t="str">
            <v>07</v>
          </cell>
          <cell r="D889" t="str">
            <v>07</v>
          </cell>
          <cell r="E889" t="str">
            <v>795 04 00</v>
          </cell>
          <cell r="F889" t="str">
            <v>500</v>
          </cell>
        </row>
        <row r="890">
          <cell r="A890" t="str">
            <v>"Будущее за молодыми на  2011-2013 г"</v>
          </cell>
          <cell r="B890" t="str">
            <v>905</v>
          </cell>
          <cell r="C890" t="str">
            <v>07</v>
          </cell>
          <cell r="D890" t="str">
            <v>07</v>
          </cell>
          <cell r="E890" t="str">
            <v>795 19 00</v>
          </cell>
          <cell r="F890" t="str">
            <v>000</v>
          </cell>
        </row>
        <row r="891">
          <cell r="A891" t="str">
            <v>Транспортные услуги</v>
          </cell>
          <cell r="B891" t="str">
            <v>903</v>
          </cell>
          <cell r="C891" t="str">
            <v>07</v>
          </cell>
          <cell r="D891" t="str">
            <v>07</v>
          </cell>
          <cell r="E891" t="str">
            <v>795 00 00</v>
          </cell>
          <cell r="F891" t="str">
            <v>500</v>
          </cell>
        </row>
        <row r="892">
          <cell r="A892" t="str">
            <v>Транспортные услуги</v>
          </cell>
          <cell r="B892" t="str">
            <v>903</v>
          </cell>
          <cell r="C892" t="str">
            <v>07</v>
          </cell>
          <cell r="D892" t="str">
            <v>07</v>
          </cell>
          <cell r="E892" t="str">
            <v>795 00 00</v>
          </cell>
          <cell r="F892" t="str">
            <v>500</v>
          </cell>
        </row>
        <row r="893">
          <cell r="B893" t="str">
            <v>905</v>
          </cell>
          <cell r="C893" t="str">
            <v>07</v>
          </cell>
          <cell r="D893" t="str">
            <v>07</v>
          </cell>
          <cell r="E893" t="str">
            <v>795 19 00</v>
          </cell>
          <cell r="F893" t="str">
            <v>500</v>
          </cell>
        </row>
        <row r="894">
          <cell r="B894" t="str">
            <v>905</v>
          </cell>
          <cell r="C894" t="str">
            <v>07</v>
          </cell>
          <cell r="D894" t="str">
            <v>07</v>
          </cell>
          <cell r="E894" t="str">
            <v>795 04 00</v>
          </cell>
          <cell r="F894" t="str">
            <v>500</v>
          </cell>
        </row>
        <row r="895">
          <cell r="A895" t="str">
            <v>Услуги по содержанию иммущества</v>
          </cell>
          <cell r="B895" t="str">
            <v>903</v>
          </cell>
          <cell r="C895" t="str">
            <v>07</v>
          </cell>
          <cell r="D895" t="str">
            <v>07</v>
          </cell>
          <cell r="E895" t="str">
            <v>795 04 00</v>
          </cell>
          <cell r="F895" t="str">
            <v>500</v>
          </cell>
        </row>
        <row r="896">
          <cell r="A896" t="str">
            <v>Прочие услуги</v>
          </cell>
          <cell r="B896" t="str">
            <v>903</v>
          </cell>
          <cell r="C896" t="str">
            <v>07</v>
          </cell>
          <cell r="D896" t="str">
            <v>07</v>
          </cell>
          <cell r="E896" t="str">
            <v>795 00 00</v>
          </cell>
          <cell r="F896" t="str">
            <v>500</v>
          </cell>
        </row>
        <row r="897">
          <cell r="A897" t="str">
            <v>Транспортные услуги</v>
          </cell>
          <cell r="B897" t="str">
            <v>905</v>
          </cell>
          <cell r="C897" t="str">
            <v>07</v>
          </cell>
          <cell r="D897" t="str">
            <v>07</v>
          </cell>
          <cell r="E897" t="str">
            <v>795 00 00</v>
          </cell>
          <cell r="F897" t="str">
            <v>500</v>
          </cell>
        </row>
        <row r="898">
          <cell r="A898" t="str">
            <v>Услуги по содержанию иммущества</v>
          </cell>
          <cell r="B898" t="str">
            <v>903</v>
          </cell>
          <cell r="C898" t="str">
            <v>07</v>
          </cell>
          <cell r="D898" t="str">
            <v>07</v>
          </cell>
          <cell r="E898" t="str">
            <v>795 00 00</v>
          </cell>
          <cell r="F898" t="str">
            <v>500</v>
          </cell>
        </row>
        <row r="899">
          <cell r="A899" t="str">
            <v>Прочие услуги</v>
          </cell>
          <cell r="B899" t="str">
            <v>905</v>
          </cell>
          <cell r="C899" t="str">
            <v>07</v>
          </cell>
          <cell r="D899" t="str">
            <v>07</v>
          </cell>
          <cell r="E899" t="str">
            <v>795 04 00</v>
          </cell>
          <cell r="F899" t="str">
            <v>500</v>
          </cell>
        </row>
        <row r="900">
          <cell r="A900" t="str">
            <v>Прочие услуги</v>
          </cell>
          <cell r="B900" t="str">
            <v>906</v>
          </cell>
          <cell r="C900" t="str">
            <v>07</v>
          </cell>
          <cell r="D900" t="str">
            <v>07</v>
          </cell>
          <cell r="E900" t="str">
            <v>795 00 00</v>
          </cell>
          <cell r="F900" t="str">
            <v>500</v>
          </cell>
        </row>
        <row r="901">
          <cell r="A901" t="str">
            <v>Прочие услуги</v>
          </cell>
          <cell r="B901" t="str">
            <v>907</v>
          </cell>
          <cell r="C901" t="str">
            <v>07</v>
          </cell>
          <cell r="D901" t="str">
            <v>07</v>
          </cell>
          <cell r="E901" t="str">
            <v>795 00 00</v>
          </cell>
          <cell r="F901" t="str">
            <v>500</v>
          </cell>
        </row>
        <row r="902">
          <cell r="A902" t="str">
            <v>Прочие расходы </v>
          </cell>
          <cell r="B902" t="str">
            <v>908</v>
          </cell>
          <cell r="C902" t="str">
            <v>07</v>
          </cell>
          <cell r="D902" t="str">
            <v>07</v>
          </cell>
          <cell r="E902" t="str">
            <v>795 00 00</v>
          </cell>
          <cell r="F902" t="str">
            <v>500</v>
          </cell>
        </row>
        <row r="903">
          <cell r="A903" t="str">
            <v>Прочие услуги</v>
          </cell>
          <cell r="B903" t="str">
            <v>903</v>
          </cell>
          <cell r="C903" t="str">
            <v>07</v>
          </cell>
          <cell r="D903" t="str">
            <v>07</v>
          </cell>
          <cell r="E903" t="str">
            <v>795 04 00</v>
          </cell>
          <cell r="F903" t="str">
            <v>500</v>
          </cell>
        </row>
        <row r="904">
          <cell r="A904" t="str">
            <v>Прочие услуги "Круглогодичный отдых"</v>
          </cell>
          <cell r="B904" t="str">
            <v>902</v>
          </cell>
          <cell r="C904" t="str">
            <v>07</v>
          </cell>
          <cell r="D904" t="str">
            <v>07</v>
          </cell>
          <cell r="E904" t="str">
            <v>795 04 00</v>
          </cell>
          <cell r="F904" t="str">
            <v>500</v>
          </cell>
        </row>
        <row r="905">
          <cell r="A905" t="str">
            <v>Прочие услуги "Круглогодичный отдых"</v>
          </cell>
          <cell r="B905" t="str">
            <v>904</v>
          </cell>
          <cell r="C905" t="str">
            <v>07</v>
          </cell>
          <cell r="D905" t="str">
            <v>07</v>
          </cell>
          <cell r="E905" t="str">
            <v>795 04 00</v>
          </cell>
          <cell r="F905" t="str">
            <v>500</v>
          </cell>
        </row>
        <row r="906">
          <cell r="A906" t="str">
            <v>Прочие расходы </v>
          </cell>
          <cell r="B906" t="str">
            <v>905</v>
          </cell>
          <cell r="C906" t="str">
            <v>07</v>
          </cell>
          <cell r="D906" t="str">
            <v>07</v>
          </cell>
          <cell r="E906" t="str">
            <v>795 00 00</v>
          </cell>
          <cell r="F906" t="str">
            <v>500</v>
          </cell>
        </row>
        <row r="907">
          <cell r="B907" t="str">
            <v>905</v>
          </cell>
          <cell r="C907" t="str">
            <v>07</v>
          </cell>
          <cell r="D907" t="str">
            <v>07</v>
          </cell>
          <cell r="E907" t="str">
            <v>795 19 00</v>
          </cell>
          <cell r="F907" t="str">
            <v>500</v>
          </cell>
        </row>
        <row r="908">
          <cell r="B908" t="str">
            <v>905</v>
          </cell>
          <cell r="C908" t="str">
            <v>07</v>
          </cell>
          <cell r="D908" t="str">
            <v>07</v>
          </cell>
          <cell r="E908" t="str">
            <v>795 04 00</v>
          </cell>
          <cell r="F908" t="str">
            <v>500</v>
          </cell>
        </row>
        <row r="909">
          <cell r="B909" t="str">
            <v>903</v>
          </cell>
          <cell r="C909" t="str">
            <v>07</v>
          </cell>
          <cell r="D909" t="str">
            <v>07</v>
          </cell>
          <cell r="E909" t="str">
            <v>795 04 00</v>
          </cell>
          <cell r="F909" t="str">
            <v>500</v>
          </cell>
        </row>
        <row r="910">
          <cell r="A910" t="str">
            <v>Поступление нефинансовых активов</v>
          </cell>
          <cell r="C910" t="str">
            <v>07</v>
          </cell>
          <cell r="D910" t="str">
            <v>07</v>
          </cell>
          <cell r="E910" t="str">
            <v>795 00 00</v>
          </cell>
          <cell r="F910" t="str">
            <v>500</v>
          </cell>
        </row>
        <row r="911">
          <cell r="A911" t="str">
            <v>Увеличение стоимости основных средств</v>
          </cell>
          <cell r="B911" t="str">
            <v>910</v>
          </cell>
          <cell r="C911" t="str">
            <v>07</v>
          </cell>
          <cell r="D911" t="str">
            <v>07</v>
          </cell>
          <cell r="E911" t="str">
            <v>795 00 00</v>
          </cell>
          <cell r="F911" t="str">
            <v>500</v>
          </cell>
        </row>
        <row r="912">
          <cell r="A912" t="str">
            <v>Увеличение стоимости материальных запасов</v>
          </cell>
          <cell r="B912" t="str">
            <v>911</v>
          </cell>
          <cell r="C912" t="str">
            <v>07</v>
          </cell>
          <cell r="D912" t="str">
            <v>07</v>
          </cell>
          <cell r="E912" t="str">
            <v>795 00 00</v>
          </cell>
          <cell r="F912" t="str">
            <v>500</v>
          </cell>
        </row>
        <row r="913">
          <cell r="A913" t="str">
            <v>Увеличение стоимости материальных запасов</v>
          </cell>
          <cell r="B913" t="str">
            <v>912</v>
          </cell>
          <cell r="C913" t="str">
            <v>07</v>
          </cell>
          <cell r="D913" t="str">
            <v>07</v>
          </cell>
          <cell r="E913" t="str">
            <v>795 00 00</v>
          </cell>
          <cell r="F913" t="str">
            <v>500</v>
          </cell>
        </row>
        <row r="914">
          <cell r="A914" t="str">
            <v>Увеличение стоймости основных средств</v>
          </cell>
          <cell r="B914" t="str">
            <v>905</v>
          </cell>
          <cell r="C914" t="str">
            <v>07</v>
          </cell>
          <cell r="D914" t="str">
            <v>07</v>
          </cell>
          <cell r="E914" t="str">
            <v>795 00 00</v>
          </cell>
          <cell r="F914" t="str">
            <v>500</v>
          </cell>
        </row>
        <row r="915">
          <cell r="B915" t="str">
            <v>905</v>
          </cell>
          <cell r="C915" t="str">
            <v>07</v>
          </cell>
          <cell r="D915" t="str">
            <v>07</v>
          </cell>
          <cell r="E915" t="str">
            <v>795 19 00</v>
          </cell>
          <cell r="F915" t="str">
            <v>500</v>
          </cell>
        </row>
        <row r="916">
          <cell r="A916" t="str">
            <v>Увеличение стоимости основных средств</v>
          </cell>
          <cell r="B916" t="str">
            <v>903</v>
          </cell>
          <cell r="C916" t="str">
            <v>07</v>
          </cell>
          <cell r="D916" t="str">
            <v>07</v>
          </cell>
          <cell r="E916" t="str">
            <v>795 04 00</v>
          </cell>
          <cell r="F916" t="str">
            <v>500</v>
          </cell>
        </row>
        <row r="917">
          <cell r="A917" t="str">
            <v>Увеличение стоимости материальных запасов</v>
          </cell>
          <cell r="B917" t="str">
            <v>903</v>
          </cell>
          <cell r="C917" t="str">
            <v>07</v>
          </cell>
          <cell r="D917" t="str">
            <v>07</v>
          </cell>
          <cell r="E917" t="str">
            <v>795 00 00</v>
          </cell>
          <cell r="F917" t="str">
            <v>500</v>
          </cell>
        </row>
        <row r="918">
          <cell r="B918" t="str">
            <v>905</v>
          </cell>
          <cell r="C918" t="str">
            <v>07</v>
          </cell>
          <cell r="D918" t="str">
            <v>07</v>
          </cell>
          <cell r="E918" t="str">
            <v>795 19 00</v>
          </cell>
          <cell r="F918" t="str">
            <v>500</v>
          </cell>
        </row>
        <row r="919">
          <cell r="B919" t="str">
            <v>905</v>
          </cell>
          <cell r="C919" t="str">
            <v>07</v>
          </cell>
          <cell r="D919" t="str">
            <v>07</v>
          </cell>
          <cell r="E919" t="str">
            <v>795 04 00</v>
          </cell>
          <cell r="F919" t="str">
            <v>500</v>
          </cell>
        </row>
        <row r="920">
          <cell r="A920" t="str">
            <v>Увеличение стоимости материальных запасов</v>
          </cell>
          <cell r="B920" t="str">
            <v>903</v>
          </cell>
          <cell r="C920" t="str">
            <v>07</v>
          </cell>
          <cell r="D920" t="str">
            <v>07</v>
          </cell>
          <cell r="E920" t="str">
            <v>795 04 00</v>
          </cell>
          <cell r="F920" t="str">
            <v>500</v>
          </cell>
        </row>
        <row r="921">
          <cell r="A921" t="str">
            <v>Увеличение стоимости материальных запасов</v>
          </cell>
          <cell r="B921" t="str">
            <v>905</v>
          </cell>
          <cell r="C921" t="str">
            <v>07</v>
          </cell>
          <cell r="D921" t="str">
            <v>07</v>
          </cell>
          <cell r="E921" t="str">
            <v>795 00 00</v>
          </cell>
          <cell r="F921" t="str">
            <v>500</v>
          </cell>
        </row>
        <row r="922">
          <cell r="B922" t="str">
            <v>905</v>
          </cell>
          <cell r="C922" t="str">
            <v>07</v>
          </cell>
          <cell r="D922" t="str">
            <v>07</v>
          </cell>
          <cell r="E922" t="str">
            <v>795 19 00</v>
          </cell>
          <cell r="F922" t="str">
            <v>500</v>
          </cell>
        </row>
        <row r="923">
          <cell r="A923" t="str">
            <v>Выполнение функций органами местного самоуправления</v>
          </cell>
          <cell r="B923" t="str">
            <v>905</v>
          </cell>
          <cell r="C923" t="str">
            <v>07</v>
          </cell>
          <cell r="D923" t="str">
            <v>07</v>
          </cell>
          <cell r="E923" t="str">
            <v>795 19 00</v>
          </cell>
          <cell r="F923" t="str">
            <v>500</v>
          </cell>
        </row>
        <row r="924">
          <cell r="A924" t="str">
            <v>Другие вопросы в области образования</v>
          </cell>
          <cell r="B924" t="str">
            <v>903</v>
          </cell>
          <cell r="C924" t="str">
            <v>07</v>
          </cell>
          <cell r="D924" t="str">
            <v>09</v>
          </cell>
          <cell r="E924" t="str">
            <v>000 00 00</v>
          </cell>
          <cell r="F924" t="str">
            <v>000</v>
          </cell>
        </row>
        <row r="925">
          <cell r="A925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925" t="str">
            <v>903</v>
          </cell>
          <cell r="C925" t="str">
            <v>07</v>
          </cell>
          <cell r="D925" t="str">
            <v>09</v>
          </cell>
          <cell r="E925" t="str">
            <v>002 00 00</v>
          </cell>
          <cell r="F925" t="str">
            <v>000</v>
          </cell>
        </row>
        <row r="926">
          <cell r="A926" t="str">
            <v>Центральный аппарат</v>
          </cell>
          <cell r="B926" t="str">
            <v>903</v>
          </cell>
          <cell r="C926" t="str">
            <v>07</v>
          </cell>
          <cell r="D926" t="str">
            <v>09</v>
          </cell>
          <cell r="E926" t="str">
            <v>002 04 00</v>
          </cell>
          <cell r="F926" t="str">
            <v>000</v>
          </cell>
        </row>
        <row r="927">
          <cell r="A927" t="str">
            <v>Выполнение функций органами местного самоуправления</v>
          </cell>
          <cell r="B927" t="str">
            <v>903</v>
          </cell>
          <cell r="C927" t="str">
            <v>07</v>
          </cell>
          <cell r="D927" t="str">
            <v>09</v>
          </cell>
          <cell r="E927" t="str">
            <v>002 04 00</v>
          </cell>
          <cell r="F927" t="str">
            <v>500</v>
          </cell>
        </row>
        <row r="928">
          <cell r="A928" t="str">
            <v>Расходы</v>
          </cell>
          <cell r="B928" t="str">
            <v>903</v>
          </cell>
          <cell r="C928" t="str">
            <v>07</v>
          </cell>
          <cell r="D928" t="str">
            <v>09</v>
          </cell>
          <cell r="E928" t="str">
            <v>002 04 00</v>
          </cell>
          <cell r="F928" t="str">
            <v>500</v>
          </cell>
        </row>
        <row r="929">
          <cell r="A929" t="str">
            <v>Оплата труда и начисления на оплату труда</v>
          </cell>
          <cell r="B929" t="str">
            <v>903</v>
          </cell>
          <cell r="C929" t="str">
            <v>07</v>
          </cell>
          <cell r="D929" t="str">
            <v>09</v>
          </cell>
          <cell r="E929" t="str">
            <v>002 04 00</v>
          </cell>
          <cell r="F929" t="str">
            <v>500</v>
          </cell>
        </row>
        <row r="930">
          <cell r="A930" t="str">
            <v>Заработная плата</v>
          </cell>
          <cell r="B930" t="str">
            <v>903</v>
          </cell>
          <cell r="C930" t="str">
            <v>07</v>
          </cell>
          <cell r="D930" t="str">
            <v>09</v>
          </cell>
          <cell r="E930" t="str">
            <v>002 04 00</v>
          </cell>
          <cell r="F930" t="str">
            <v>500</v>
          </cell>
        </row>
        <row r="931">
          <cell r="A931" t="str">
            <v>Прочие выплаты</v>
          </cell>
          <cell r="B931" t="str">
            <v>903</v>
          </cell>
          <cell r="C931" t="str">
            <v>07</v>
          </cell>
          <cell r="D931" t="str">
            <v>09</v>
          </cell>
          <cell r="E931" t="str">
            <v>002 04 00</v>
          </cell>
          <cell r="F931" t="str">
            <v>500</v>
          </cell>
        </row>
        <row r="932">
          <cell r="A932" t="str">
            <v>Начисление на оплату труда</v>
          </cell>
          <cell r="B932" t="str">
            <v>903</v>
          </cell>
          <cell r="C932" t="str">
            <v>07</v>
          </cell>
          <cell r="D932" t="str">
            <v>09</v>
          </cell>
          <cell r="E932" t="str">
            <v>002 04 00</v>
          </cell>
          <cell r="F932" t="str">
            <v>500</v>
          </cell>
        </row>
        <row r="933">
          <cell r="A933" t="str">
            <v>Приобретение услуг</v>
          </cell>
          <cell r="B933" t="str">
            <v>903</v>
          </cell>
          <cell r="C933" t="str">
            <v>07</v>
          </cell>
          <cell r="D933" t="str">
            <v>09</v>
          </cell>
          <cell r="E933" t="str">
            <v>002 04 00</v>
          </cell>
          <cell r="F933" t="str">
            <v>500</v>
          </cell>
        </row>
        <row r="934">
          <cell r="A934" t="str">
            <v>Услуги связи </v>
          </cell>
          <cell r="B934" t="str">
            <v>903</v>
          </cell>
          <cell r="C934" t="str">
            <v>07</v>
          </cell>
          <cell r="D934" t="str">
            <v>09</v>
          </cell>
          <cell r="E934" t="str">
            <v>002 04 00</v>
          </cell>
          <cell r="F934" t="str">
            <v>500</v>
          </cell>
        </row>
        <row r="935">
          <cell r="A935" t="str">
            <v>Транспортные услуги</v>
          </cell>
          <cell r="B935" t="str">
            <v>903</v>
          </cell>
          <cell r="C935" t="str">
            <v>07</v>
          </cell>
          <cell r="D935" t="str">
            <v>09</v>
          </cell>
          <cell r="E935" t="str">
            <v>002 04 00</v>
          </cell>
          <cell r="F935" t="str">
            <v>500</v>
          </cell>
        </row>
        <row r="936">
          <cell r="A936" t="str">
            <v>Коммунальные услуги</v>
          </cell>
          <cell r="B936" t="str">
            <v>903</v>
          </cell>
          <cell r="C936" t="str">
            <v>07</v>
          </cell>
          <cell r="D936" t="str">
            <v>09</v>
          </cell>
          <cell r="E936" t="str">
            <v>002 04 00</v>
          </cell>
          <cell r="F936" t="str">
            <v>500</v>
          </cell>
        </row>
        <row r="937">
          <cell r="A937" t="str">
            <v>Арендная плата за пользование иммуществом </v>
          </cell>
          <cell r="B937" t="str">
            <v>903</v>
          </cell>
          <cell r="C937" t="str">
            <v>07</v>
          </cell>
          <cell r="D937" t="str">
            <v>09</v>
          </cell>
          <cell r="E937" t="str">
            <v>002 04 00</v>
          </cell>
          <cell r="F937" t="str">
            <v>500</v>
          </cell>
        </row>
        <row r="938">
          <cell r="A938" t="str">
            <v>Услуги по содержанию иммущества</v>
          </cell>
          <cell r="B938" t="str">
            <v>903</v>
          </cell>
          <cell r="C938" t="str">
            <v>07</v>
          </cell>
          <cell r="D938" t="str">
            <v>09</v>
          </cell>
          <cell r="E938" t="str">
            <v>002 04 00</v>
          </cell>
          <cell r="F938" t="str">
            <v>500</v>
          </cell>
        </row>
        <row r="939">
          <cell r="A939" t="str">
            <v>Прочие услуги</v>
          </cell>
          <cell r="B939" t="str">
            <v>903</v>
          </cell>
          <cell r="C939" t="str">
            <v>07</v>
          </cell>
          <cell r="D939" t="str">
            <v>09</v>
          </cell>
          <cell r="E939" t="str">
            <v>002 04 00</v>
          </cell>
          <cell r="F939" t="str">
            <v>500</v>
          </cell>
        </row>
        <row r="940">
          <cell r="A940" t="str">
            <v>Прочие расходы </v>
          </cell>
          <cell r="B940" t="str">
            <v>903</v>
          </cell>
          <cell r="C940" t="str">
            <v>07</v>
          </cell>
          <cell r="D940" t="str">
            <v>09</v>
          </cell>
          <cell r="E940" t="str">
            <v>002 04 00</v>
          </cell>
          <cell r="F940" t="str">
            <v>500</v>
          </cell>
        </row>
        <row r="941">
          <cell r="A941" t="str">
            <v>Поступление нефинансовых активов</v>
          </cell>
          <cell r="B941" t="str">
            <v>903</v>
          </cell>
          <cell r="C941" t="str">
            <v>07</v>
          </cell>
          <cell r="D941" t="str">
            <v>09</v>
          </cell>
          <cell r="E941" t="str">
            <v>002 04 00</v>
          </cell>
          <cell r="F941" t="str">
            <v>500</v>
          </cell>
        </row>
        <row r="942">
          <cell r="A942" t="str">
            <v>Увеличение стоимости основных средств</v>
          </cell>
          <cell r="B942" t="str">
            <v>903</v>
          </cell>
          <cell r="C942" t="str">
            <v>07</v>
          </cell>
          <cell r="D942" t="str">
            <v>09</v>
          </cell>
          <cell r="E942" t="str">
            <v>002 04 00</v>
          </cell>
          <cell r="F942" t="str">
            <v>500</v>
          </cell>
        </row>
        <row r="943">
          <cell r="A943" t="str">
            <v>Увеличение стоимости материальных запасов</v>
          </cell>
          <cell r="B943" t="str">
            <v>903</v>
          </cell>
          <cell r="C943" t="str">
            <v>07</v>
          </cell>
          <cell r="D943" t="str">
            <v>09</v>
          </cell>
          <cell r="E943" t="str">
            <v>002 04 00</v>
          </cell>
          <cell r="F943" t="str">
            <v>500</v>
          </cell>
        </row>
        <row r="944">
          <cell r="A944" t="str">
            <v>Оплата труда и начисления на оплату труда</v>
          </cell>
          <cell r="B944" t="str">
            <v>901</v>
          </cell>
          <cell r="C944" t="str">
            <v>07</v>
          </cell>
          <cell r="D944" t="str">
            <v>09</v>
          </cell>
          <cell r="E944" t="str">
            <v>001 00 00</v>
          </cell>
          <cell r="F944" t="str">
            <v>005</v>
          </cell>
        </row>
        <row r="945">
          <cell r="A945" t="str">
            <v>Заработная плата</v>
          </cell>
          <cell r="B945" t="str">
            <v>901</v>
          </cell>
          <cell r="C945" t="str">
            <v>07</v>
          </cell>
          <cell r="D945" t="str">
            <v>09</v>
          </cell>
          <cell r="E945" t="str">
            <v>001 00 00</v>
          </cell>
          <cell r="F945" t="str">
            <v>005</v>
          </cell>
        </row>
        <row r="946">
          <cell r="A946" t="str">
            <v>Прочие выплаты</v>
          </cell>
          <cell r="B946" t="str">
            <v>901</v>
          </cell>
          <cell r="C946" t="str">
            <v>07</v>
          </cell>
          <cell r="D946" t="str">
            <v>09</v>
          </cell>
          <cell r="E946" t="str">
            <v>001 00 00</v>
          </cell>
          <cell r="F946" t="str">
            <v>005</v>
          </cell>
        </row>
        <row r="947">
          <cell r="A947" t="str">
            <v>Начисление на оплату труда</v>
          </cell>
          <cell r="B947" t="str">
            <v>901</v>
          </cell>
          <cell r="C947" t="str">
            <v>07</v>
          </cell>
          <cell r="D947" t="str">
            <v>09</v>
          </cell>
          <cell r="E947" t="str">
            <v>001 00 00</v>
          </cell>
          <cell r="F947" t="str">
            <v>005</v>
          </cell>
        </row>
        <row r="948">
          <cell r="A948" t="str">
            <v>Приобретение услуг</v>
          </cell>
          <cell r="B948" t="str">
            <v>901</v>
          </cell>
          <cell r="C948" t="str">
            <v>07</v>
          </cell>
          <cell r="D948" t="str">
            <v>09</v>
          </cell>
          <cell r="E948" t="str">
            <v>001 00 00</v>
          </cell>
          <cell r="F948" t="str">
            <v>005</v>
          </cell>
        </row>
        <row r="949">
          <cell r="A949" t="str">
            <v>Услуги связи </v>
          </cell>
          <cell r="B949" t="str">
            <v>901</v>
          </cell>
          <cell r="C949" t="str">
            <v>07</v>
          </cell>
          <cell r="D949" t="str">
            <v>09</v>
          </cell>
          <cell r="E949" t="str">
            <v>001 00 00</v>
          </cell>
          <cell r="F949" t="str">
            <v>005</v>
          </cell>
        </row>
        <row r="950">
          <cell r="A950" t="str">
            <v>Транспортные услуги</v>
          </cell>
          <cell r="B950" t="str">
            <v>901</v>
          </cell>
          <cell r="C950" t="str">
            <v>07</v>
          </cell>
          <cell r="D950" t="str">
            <v>09</v>
          </cell>
          <cell r="E950" t="str">
            <v>001 00 00</v>
          </cell>
          <cell r="F950" t="str">
            <v>005</v>
          </cell>
        </row>
        <row r="951">
          <cell r="A951" t="str">
            <v>Коммунальные услуги</v>
          </cell>
          <cell r="B951" t="str">
            <v>901</v>
          </cell>
          <cell r="C951" t="str">
            <v>07</v>
          </cell>
          <cell r="D951" t="str">
            <v>09</v>
          </cell>
          <cell r="E951" t="str">
            <v>001 00 00</v>
          </cell>
          <cell r="F951" t="str">
            <v>005</v>
          </cell>
        </row>
        <row r="952">
          <cell r="A952" t="str">
            <v>Арендная плата за пользование иммуществом </v>
          </cell>
          <cell r="B952" t="str">
            <v>901</v>
          </cell>
          <cell r="C952" t="str">
            <v>07</v>
          </cell>
          <cell r="D952" t="str">
            <v>09</v>
          </cell>
          <cell r="E952" t="str">
            <v>001 00 00</v>
          </cell>
          <cell r="F952" t="str">
            <v>005</v>
          </cell>
        </row>
        <row r="953">
          <cell r="A953" t="str">
            <v>Услуги по содержанию иммущества</v>
          </cell>
          <cell r="B953" t="str">
            <v>901</v>
          </cell>
          <cell r="C953" t="str">
            <v>07</v>
          </cell>
          <cell r="D953" t="str">
            <v>09</v>
          </cell>
          <cell r="E953" t="str">
            <v>001 00 00</v>
          </cell>
          <cell r="F953" t="str">
            <v>005</v>
          </cell>
        </row>
        <row r="954">
          <cell r="A954" t="str">
            <v>Прочие услуги</v>
          </cell>
          <cell r="B954" t="str">
            <v>901</v>
          </cell>
          <cell r="C954" t="str">
            <v>07</v>
          </cell>
          <cell r="D954" t="str">
            <v>09</v>
          </cell>
          <cell r="E954" t="str">
            <v>001 00 00</v>
          </cell>
          <cell r="F954" t="str">
            <v>005</v>
          </cell>
        </row>
        <row r="955">
          <cell r="A955" t="str">
            <v>Прочие расходы </v>
          </cell>
          <cell r="B955" t="str">
            <v>901</v>
          </cell>
          <cell r="C955" t="str">
            <v>07</v>
          </cell>
          <cell r="D955" t="str">
            <v>09</v>
          </cell>
          <cell r="E955" t="str">
            <v>001 00 00</v>
          </cell>
          <cell r="F955" t="str">
            <v>005</v>
          </cell>
        </row>
        <row r="956">
          <cell r="A956" t="str">
            <v>Поступление нефинансовых активов</v>
          </cell>
          <cell r="B956" t="str">
            <v>901</v>
          </cell>
          <cell r="C956" t="str">
            <v>07</v>
          </cell>
          <cell r="D956" t="str">
            <v>09</v>
          </cell>
          <cell r="E956" t="str">
            <v>001 00 00</v>
          </cell>
          <cell r="F956" t="str">
            <v>005</v>
          </cell>
        </row>
        <row r="957">
          <cell r="A957" t="str">
            <v>Увеличение стоимости основных средств</v>
          </cell>
          <cell r="B957" t="str">
            <v>901</v>
          </cell>
          <cell r="C957" t="str">
            <v>07</v>
          </cell>
          <cell r="D957" t="str">
            <v>09</v>
          </cell>
          <cell r="E957" t="str">
            <v>001 00 00</v>
          </cell>
          <cell r="F957" t="str">
            <v>005</v>
          </cell>
        </row>
        <row r="958">
          <cell r="A958" t="str">
            <v>Увеличение стоимости материальных запасов</v>
          </cell>
          <cell r="B958" t="str">
            <v>901</v>
          </cell>
          <cell r="C958" t="str">
            <v>07</v>
          </cell>
          <cell r="D958" t="str">
            <v>09</v>
          </cell>
          <cell r="E958" t="str">
            <v>001 00 00</v>
          </cell>
          <cell r="F958" t="str">
            <v>005</v>
          </cell>
        </row>
        <row r="959">
          <cell r="A959" t="str">
            <v>Межбюджетные трансферты на погашение кредиторской задолженности муниципальных учреждений по страховым взносам в Пенсионный фонд Российской Федерации на обязательное пенсионное страхование, сложившейся за период с 1 января 2001 года до 1 января 2010 года</v>
          </cell>
          <cell r="B959" t="str">
            <v>903</v>
          </cell>
          <cell r="C959" t="str">
            <v>07</v>
          </cell>
          <cell r="D959" t="str">
            <v>09</v>
          </cell>
          <cell r="E959" t="str">
            <v>603 00 00</v>
          </cell>
          <cell r="F959" t="str">
            <v>001</v>
          </cell>
        </row>
        <row r="960">
          <cell r="B960" t="str">
            <v>903</v>
          </cell>
          <cell r="C960" t="str">
            <v>07</v>
          </cell>
          <cell r="D960" t="str">
            <v>09</v>
          </cell>
          <cell r="E960" t="str">
            <v>603 00 00</v>
          </cell>
          <cell r="F960" t="str">
            <v>001</v>
          </cell>
        </row>
        <row r="961">
          <cell r="B961" t="str">
            <v>903</v>
          </cell>
          <cell r="C961" t="str">
            <v>07</v>
          </cell>
          <cell r="D961" t="str">
            <v>09</v>
          </cell>
          <cell r="E961" t="str">
            <v>603 00 00</v>
          </cell>
          <cell r="F961" t="str">
            <v>001</v>
          </cell>
        </row>
        <row r="962">
          <cell r="A962" t="str">
            <v>Выполнение функций органами местного самоуправления</v>
          </cell>
          <cell r="B962" t="str">
            <v>903</v>
          </cell>
          <cell r="C962" t="str">
            <v>07</v>
          </cell>
          <cell r="D962" t="str">
            <v>09</v>
          </cell>
          <cell r="E962" t="str">
            <v>603 00 00</v>
          </cell>
          <cell r="F962" t="str">
            <v>001</v>
          </cell>
        </row>
        <row r="963">
          <cell r="A963" t="str">
            <v>Расходы</v>
          </cell>
          <cell r="B963" t="str">
            <v>903</v>
          </cell>
          <cell r="C963" t="str">
            <v>07</v>
          </cell>
          <cell r="D963" t="str">
            <v>09</v>
          </cell>
          <cell r="E963" t="str">
            <v>603 00 00</v>
          </cell>
          <cell r="F963" t="str">
            <v>001</v>
          </cell>
        </row>
        <row r="964">
          <cell r="A964" t="str">
            <v>Оплата труда и начисления на оплату труда</v>
          </cell>
          <cell r="B964" t="str">
            <v>903</v>
          </cell>
          <cell r="C964" t="str">
            <v>07</v>
          </cell>
          <cell r="D964" t="str">
            <v>09</v>
          </cell>
          <cell r="E964" t="str">
            <v>603 00 00</v>
          </cell>
          <cell r="F964" t="str">
            <v>001</v>
          </cell>
        </row>
        <row r="965">
          <cell r="A965" t="str">
            <v>Начисление на оплату труда</v>
          </cell>
          <cell r="B965" t="str">
            <v>903</v>
          </cell>
          <cell r="C965" t="str">
            <v>07</v>
          </cell>
          <cell r="D965" t="str">
            <v>09</v>
          </cell>
          <cell r="E965" t="str">
            <v>603 00 00</v>
          </cell>
          <cell r="F965" t="str">
            <v>001</v>
          </cell>
        </row>
        <row r="966">
          <cell r="A966" t="str">
            <v>Мероприятия в области образования </v>
          </cell>
          <cell r="B966" t="str">
            <v>903</v>
          </cell>
          <cell r="C966" t="str">
            <v>07</v>
          </cell>
          <cell r="D966" t="str">
            <v>09</v>
          </cell>
          <cell r="E966" t="str">
            <v>436 00 00</v>
          </cell>
          <cell r="F966" t="str">
            <v>000</v>
          </cell>
        </row>
        <row r="967">
          <cell r="A967" t="str">
            <v>Проведение мероприятий для детей и молодежи</v>
          </cell>
          <cell r="B967" t="str">
            <v>903</v>
          </cell>
          <cell r="C967" t="str">
            <v>07</v>
          </cell>
          <cell r="D967" t="str">
            <v>09</v>
          </cell>
          <cell r="E967" t="str">
            <v>436 09 00</v>
          </cell>
          <cell r="F967" t="str">
            <v>000</v>
          </cell>
        </row>
        <row r="968">
          <cell r="A968" t="str">
            <v>Выполнение функций органами местного самоуправления</v>
          </cell>
          <cell r="B968" t="str">
            <v>903</v>
          </cell>
          <cell r="C968" t="str">
            <v>07</v>
          </cell>
          <cell r="D968" t="str">
            <v>09</v>
          </cell>
          <cell r="E968" t="str">
            <v>436 09 00</v>
          </cell>
          <cell r="F968" t="str">
            <v>500</v>
          </cell>
        </row>
        <row r="969">
          <cell r="A969" t="str">
            <v>Расходы</v>
          </cell>
          <cell r="B969" t="str">
            <v>903</v>
          </cell>
          <cell r="C969" t="str">
            <v>07</v>
          </cell>
          <cell r="D969" t="str">
            <v>09</v>
          </cell>
          <cell r="E969" t="str">
            <v>436 09 00</v>
          </cell>
          <cell r="F969" t="str">
            <v>500</v>
          </cell>
        </row>
        <row r="970">
          <cell r="A970" t="str">
            <v>Приобретение услуг</v>
          </cell>
          <cell r="B970" t="str">
            <v>903</v>
          </cell>
          <cell r="C970" t="str">
            <v>07</v>
          </cell>
          <cell r="D970" t="str">
            <v>09</v>
          </cell>
          <cell r="E970" t="str">
            <v>436 09 00</v>
          </cell>
          <cell r="F970" t="str">
            <v>500</v>
          </cell>
        </row>
        <row r="971">
          <cell r="A971" t="str">
            <v>Транспортные услуги</v>
          </cell>
          <cell r="B971" t="str">
            <v>903</v>
          </cell>
          <cell r="C971" t="str">
            <v>07</v>
          </cell>
          <cell r="D971" t="str">
            <v>09</v>
          </cell>
          <cell r="E971" t="str">
            <v>436 09 00</v>
          </cell>
          <cell r="F971" t="str">
            <v>500</v>
          </cell>
        </row>
        <row r="972">
          <cell r="A972" t="str">
            <v>Прочие услуги </v>
          </cell>
          <cell r="B972" t="str">
            <v>903</v>
          </cell>
          <cell r="C972" t="str">
            <v>07</v>
          </cell>
          <cell r="D972" t="str">
            <v>09</v>
          </cell>
          <cell r="E972" t="str">
            <v>436 09 00</v>
          </cell>
          <cell r="F972" t="str">
            <v>500</v>
          </cell>
        </row>
        <row r="973">
          <cell r="A973" t="str">
            <v>Прочие расходы </v>
          </cell>
          <cell r="B973" t="str">
            <v>903</v>
          </cell>
          <cell r="C973" t="str">
            <v>07</v>
          </cell>
          <cell r="D973" t="str">
            <v>09</v>
          </cell>
          <cell r="E973" t="str">
            <v>436 09 00</v>
          </cell>
          <cell r="F973" t="str">
            <v>500</v>
          </cell>
        </row>
        <row r="974">
          <cell r="A974" t="str">
            <v>Поступление нефинансовых активов</v>
          </cell>
          <cell r="B974" t="str">
            <v>903</v>
          </cell>
          <cell r="C974" t="str">
            <v>07</v>
          </cell>
          <cell r="D974" t="str">
            <v>09</v>
          </cell>
          <cell r="E974" t="str">
            <v>436 09 00</v>
          </cell>
          <cell r="F974" t="str">
            <v>500</v>
          </cell>
        </row>
        <row r="975">
          <cell r="A975" t="str">
            <v>Увеличение стоимости основных средств</v>
          </cell>
          <cell r="B975" t="str">
            <v>903</v>
          </cell>
          <cell r="C975" t="str">
            <v>07</v>
          </cell>
          <cell r="D975" t="str">
            <v>09</v>
          </cell>
          <cell r="E975" t="str">
            <v>436 09 00</v>
          </cell>
          <cell r="F975" t="str">
            <v>500</v>
          </cell>
        </row>
        <row r="976">
          <cell r="A976" t="str">
            <v>Увеличение стоимости материальных запасов </v>
          </cell>
          <cell r="B976" t="str">
            <v>903</v>
          </cell>
          <cell r="C976" t="str">
            <v>07</v>
          </cell>
          <cell r="D976" t="str">
            <v>09</v>
          </cell>
          <cell r="E976" t="str">
            <v>436 09 00</v>
          </cell>
          <cell r="F976" t="str">
            <v>500</v>
          </cell>
        </row>
        <row r="977">
          <cell r="A977" t="str">
            <v>Внедрение инновационных образовательных программ </v>
          </cell>
          <cell r="B977" t="str">
            <v>903</v>
          </cell>
          <cell r="C977" t="str">
            <v>07</v>
          </cell>
          <cell r="D977" t="str">
            <v>09</v>
          </cell>
          <cell r="E977" t="str">
            <v>4360200</v>
          </cell>
          <cell r="F977" t="str">
            <v>000</v>
          </cell>
        </row>
        <row r="978">
          <cell r="A978" t="str">
            <v>Выполнение функций бюджетными учреждениями</v>
          </cell>
          <cell r="B978" t="str">
            <v>903</v>
          </cell>
          <cell r="C978" t="str">
            <v>07</v>
          </cell>
          <cell r="D978" t="str">
            <v>09</v>
          </cell>
          <cell r="E978" t="str">
            <v>4360200</v>
          </cell>
          <cell r="F978" t="str">
            <v>001</v>
          </cell>
        </row>
        <row r="979">
          <cell r="A979" t="str">
            <v>РАСХОДЫ</v>
          </cell>
          <cell r="B979">
            <v>903</v>
          </cell>
          <cell r="C979" t="str">
            <v>07</v>
          </cell>
          <cell r="D979" t="str">
            <v>09</v>
          </cell>
          <cell r="E979" t="str">
            <v>4360200</v>
          </cell>
          <cell r="F979" t="str">
            <v>001</v>
          </cell>
        </row>
        <row r="980">
          <cell r="A980" t="str">
            <v>ПОСТУПЛЕНИЕ НЕФИНАНСОВЫХ АКТИВОВ</v>
          </cell>
          <cell r="B980">
            <v>903</v>
          </cell>
          <cell r="C980" t="str">
            <v>07</v>
          </cell>
          <cell r="D980" t="str">
            <v>09</v>
          </cell>
          <cell r="E980" t="str">
            <v>4360200</v>
          </cell>
          <cell r="F980" t="str">
            <v>001</v>
          </cell>
        </row>
        <row r="981">
          <cell r="A981" t="str">
            <v>Увеличение стоимости основных средств</v>
          </cell>
          <cell r="B981">
            <v>903</v>
          </cell>
          <cell r="C981" t="str">
            <v>07</v>
          </cell>
          <cell r="D981" t="str">
            <v>09</v>
          </cell>
          <cell r="E981" t="str">
            <v>4360200</v>
          </cell>
          <cell r="F981" t="str">
            <v>001</v>
          </cell>
        </row>
        <row r="982">
          <cell r="A982" t="str">
    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    </cell>
          <cell r="B982" t="str">
            <v>903</v>
          </cell>
          <cell r="C982" t="str">
            <v>07</v>
          </cell>
          <cell r="D982" t="str">
            <v>09</v>
          </cell>
          <cell r="E982" t="str">
            <v>452 00 00</v>
          </cell>
          <cell r="F982" t="str">
            <v>000</v>
          </cell>
        </row>
        <row r="983">
          <cell r="A983" t="str">
            <v>Обеспечение деятельности подведомственных учреждений</v>
          </cell>
          <cell r="B983" t="str">
            <v>903</v>
          </cell>
          <cell r="C983" t="str">
            <v>07</v>
          </cell>
          <cell r="D983" t="str">
            <v>09</v>
          </cell>
          <cell r="E983" t="str">
            <v>452 99 00</v>
          </cell>
          <cell r="F983" t="str">
            <v>000</v>
          </cell>
        </row>
        <row r="984">
          <cell r="A984" t="str">
            <v>Выполнение функций бюджетными учреждениями</v>
          </cell>
          <cell r="B984" t="str">
            <v>903</v>
          </cell>
          <cell r="C984" t="str">
            <v>07</v>
          </cell>
          <cell r="D984" t="str">
            <v>09</v>
          </cell>
          <cell r="E984" t="str">
            <v>452 99 00</v>
          </cell>
          <cell r="F984" t="str">
            <v>001</v>
          </cell>
        </row>
        <row r="985">
          <cell r="A985" t="str">
            <v>Расходы</v>
          </cell>
          <cell r="B985" t="str">
            <v>903</v>
          </cell>
          <cell r="C985" t="str">
            <v>07</v>
          </cell>
          <cell r="D985" t="str">
            <v>09</v>
          </cell>
          <cell r="E985" t="str">
            <v>452 99 00</v>
          </cell>
          <cell r="F985" t="str">
            <v>001</v>
          </cell>
        </row>
        <row r="986">
          <cell r="A986" t="str">
            <v>Оплата труда и начисления на оплату труда</v>
          </cell>
          <cell r="B986" t="str">
            <v>903</v>
          </cell>
          <cell r="C986" t="str">
            <v>07</v>
          </cell>
          <cell r="D986" t="str">
            <v>09</v>
          </cell>
          <cell r="E986" t="str">
            <v>452 99 00</v>
          </cell>
          <cell r="F986" t="str">
            <v>001</v>
          </cell>
        </row>
        <row r="987">
          <cell r="A987" t="str">
            <v>Заработная плата</v>
          </cell>
          <cell r="B987" t="str">
            <v>903</v>
          </cell>
          <cell r="C987" t="str">
            <v>07</v>
          </cell>
          <cell r="D987" t="str">
            <v>09</v>
          </cell>
          <cell r="E987" t="str">
            <v>452 99 00</v>
          </cell>
          <cell r="F987" t="str">
            <v>001</v>
          </cell>
        </row>
        <row r="988">
          <cell r="A988" t="str">
            <v>Прочие выплаты</v>
          </cell>
          <cell r="B988" t="str">
            <v>903</v>
          </cell>
          <cell r="C988" t="str">
            <v>07</v>
          </cell>
          <cell r="D988" t="str">
            <v>09</v>
          </cell>
          <cell r="E988" t="str">
            <v>452 99 00</v>
          </cell>
          <cell r="F988" t="str">
            <v>001</v>
          </cell>
        </row>
        <row r="989">
          <cell r="A989" t="str">
            <v>Начисление на оплату труда</v>
          </cell>
          <cell r="B989" t="str">
            <v>903</v>
          </cell>
          <cell r="C989" t="str">
            <v>07</v>
          </cell>
          <cell r="D989" t="str">
            <v>09</v>
          </cell>
          <cell r="E989" t="str">
            <v>452 99 00</v>
          </cell>
          <cell r="F989" t="str">
            <v>001</v>
          </cell>
        </row>
        <row r="990">
          <cell r="A990" t="str">
            <v>Приобретение услуг</v>
          </cell>
          <cell r="B990" t="str">
            <v>903</v>
          </cell>
          <cell r="C990" t="str">
            <v>07</v>
          </cell>
          <cell r="D990" t="str">
            <v>09</v>
          </cell>
          <cell r="E990" t="str">
            <v>452 99 00</v>
          </cell>
          <cell r="F990" t="str">
            <v>001</v>
          </cell>
        </row>
        <row r="991">
          <cell r="A991" t="str">
            <v>Услуги связи </v>
          </cell>
          <cell r="B991" t="str">
            <v>903</v>
          </cell>
          <cell r="C991" t="str">
            <v>07</v>
          </cell>
          <cell r="D991" t="str">
            <v>09</v>
          </cell>
          <cell r="E991" t="str">
            <v>452 99 00</v>
          </cell>
          <cell r="F991" t="str">
            <v>001</v>
          </cell>
        </row>
        <row r="992">
          <cell r="A992" t="str">
            <v>Транспортные услуги</v>
          </cell>
          <cell r="B992" t="str">
            <v>903</v>
          </cell>
          <cell r="C992" t="str">
            <v>07</v>
          </cell>
          <cell r="D992" t="str">
            <v>09</v>
          </cell>
          <cell r="E992" t="str">
            <v>452 99 00</v>
          </cell>
          <cell r="F992" t="str">
            <v>001</v>
          </cell>
        </row>
        <row r="993">
          <cell r="A993" t="str">
            <v>Коммунальные услуги</v>
          </cell>
          <cell r="B993" t="str">
            <v>903</v>
          </cell>
          <cell r="C993" t="str">
            <v>07</v>
          </cell>
          <cell r="D993" t="str">
            <v>09</v>
          </cell>
          <cell r="E993" t="str">
            <v>452 99 00</v>
          </cell>
          <cell r="F993" t="str">
            <v>001</v>
          </cell>
        </row>
        <row r="994">
          <cell r="A994" t="str">
            <v>Арендная плата за пользование иммуществом </v>
          </cell>
          <cell r="B994" t="str">
            <v>903</v>
          </cell>
          <cell r="C994" t="str">
            <v>07</v>
          </cell>
          <cell r="D994" t="str">
            <v>09</v>
          </cell>
          <cell r="E994" t="str">
            <v>452 99 00</v>
          </cell>
          <cell r="F994" t="str">
            <v>001</v>
          </cell>
        </row>
        <row r="995">
          <cell r="A995" t="str">
            <v>Услуги по содержанию иммущества</v>
          </cell>
          <cell r="B995" t="str">
            <v>903</v>
          </cell>
          <cell r="C995" t="str">
            <v>07</v>
          </cell>
          <cell r="D995" t="str">
            <v>09</v>
          </cell>
          <cell r="E995" t="str">
            <v>452 99 00</v>
          </cell>
          <cell r="F995" t="str">
            <v>001</v>
          </cell>
        </row>
        <row r="996">
          <cell r="A996" t="str">
            <v>Услуги по содержанию иммущества 8,40,00</v>
          </cell>
          <cell r="B996" t="str">
            <v>903</v>
          </cell>
          <cell r="C996" t="str">
            <v>07</v>
          </cell>
          <cell r="D996" t="str">
            <v>09</v>
          </cell>
          <cell r="E996" t="str">
            <v>452 99 00</v>
          </cell>
          <cell r="F996" t="str">
            <v>001</v>
          </cell>
        </row>
        <row r="997">
          <cell r="A997" t="str">
            <v>Прочие услуги</v>
          </cell>
          <cell r="B997" t="str">
            <v>903</v>
          </cell>
          <cell r="C997" t="str">
            <v>07</v>
          </cell>
          <cell r="D997" t="str">
            <v>09</v>
          </cell>
          <cell r="E997" t="str">
            <v>452 99 00</v>
          </cell>
          <cell r="F997" t="str">
            <v>001</v>
          </cell>
        </row>
        <row r="998">
          <cell r="A998" t="str">
            <v>Прочие расходы </v>
          </cell>
          <cell r="B998" t="str">
            <v>903</v>
          </cell>
          <cell r="C998" t="str">
            <v>07</v>
          </cell>
          <cell r="D998" t="str">
            <v>09</v>
          </cell>
          <cell r="E998" t="str">
            <v>452 99 00</v>
          </cell>
          <cell r="F998" t="str">
            <v>001</v>
          </cell>
        </row>
        <row r="999">
          <cell r="A999" t="str">
            <v>Поступление нефинансовых активов</v>
          </cell>
          <cell r="B999" t="str">
            <v>903</v>
          </cell>
          <cell r="C999" t="str">
            <v>07</v>
          </cell>
          <cell r="D999" t="str">
            <v>09</v>
          </cell>
          <cell r="E999" t="str">
            <v>452 99 00</v>
          </cell>
          <cell r="F999" t="str">
            <v>001</v>
          </cell>
        </row>
        <row r="1000">
          <cell r="A1000" t="str">
            <v>Увеличение стоимости основных средств</v>
          </cell>
          <cell r="B1000" t="str">
            <v>903</v>
          </cell>
          <cell r="C1000" t="str">
            <v>07</v>
          </cell>
          <cell r="D1000" t="str">
            <v>09</v>
          </cell>
          <cell r="E1000" t="str">
            <v>452 99 00</v>
          </cell>
          <cell r="F1000" t="str">
            <v>001</v>
          </cell>
        </row>
        <row r="1001">
          <cell r="A1001" t="str">
            <v>Увеличение стоимости материальных запасов</v>
          </cell>
          <cell r="B1001" t="str">
            <v>903</v>
          </cell>
          <cell r="C1001" t="str">
            <v>07</v>
          </cell>
          <cell r="D1001" t="str">
            <v>09</v>
          </cell>
          <cell r="E1001" t="str">
            <v>452 99 00</v>
          </cell>
          <cell r="F1001" t="str">
            <v>001</v>
          </cell>
        </row>
        <row r="1002">
          <cell r="A1002" t="str">
            <v>Субсидии некоммерческим организациям</v>
          </cell>
          <cell r="B1002" t="str">
            <v>903</v>
          </cell>
          <cell r="C1002" t="str">
            <v>07</v>
          </cell>
          <cell r="D1002" t="str">
            <v>09</v>
          </cell>
          <cell r="E1002" t="str">
            <v>452 99 00</v>
          </cell>
          <cell r="F1002" t="str">
            <v>019</v>
          </cell>
        </row>
        <row r="1003">
          <cell r="A1003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003" t="str">
            <v>903</v>
          </cell>
          <cell r="C1003" t="str">
            <v>07</v>
          </cell>
          <cell r="D1003" t="str">
            <v>09</v>
          </cell>
          <cell r="E1003" t="str">
            <v>590 00 00</v>
          </cell>
          <cell r="F1003" t="str">
            <v>000</v>
          </cell>
        </row>
        <row r="1004">
          <cell r="A1004" t="str">
            <v>Выполнение функций бюджетными учреждениями</v>
          </cell>
          <cell r="B1004" t="str">
            <v>903</v>
          </cell>
          <cell r="C1004" t="str">
            <v>07</v>
          </cell>
          <cell r="D1004" t="str">
            <v>09</v>
          </cell>
          <cell r="E1004" t="str">
            <v>590 00 00</v>
          </cell>
          <cell r="F1004" t="str">
            <v>001</v>
          </cell>
        </row>
        <row r="1005">
          <cell r="A1005" t="str">
            <v>Выполнение функций органами местного самоуправления</v>
          </cell>
          <cell r="B1005" t="str">
            <v>903</v>
          </cell>
          <cell r="C1005" t="str">
            <v>07</v>
          </cell>
          <cell r="D1005" t="str">
            <v>09</v>
          </cell>
          <cell r="E1005" t="str">
            <v>590 00 00</v>
          </cell>
          <cell r="F1005" t="str">
            <v>500</v>
          </cell>
        </row>
        <row r="1006">
          <cell r="A1006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1006" t="str">
            <v>903</v>
          </cell>
          <cell r="C1006" t="str">
            <v>07</v>
          </cell>
          <cell r="D1006" t="str">
            <v>09</v>
          </cell>
          <cell r="E1006" t="str">
            <v>594 00 00</v>
          </cell>
          <cell r="F1006" t="str">
            <v>000</v>
          </cell>
        </row>
        <row r="1007">
          <cell r="A1007" t="str">
            <v>Субсидии некоммерческим организациям</v>
          </cell>
          <cell r="B1007" t="str">
            <v>903</v>
          </cell>
          <cell r="C1007" t="str">
            <v>07</v>
          </cell>
          <cell r="D1007" t="str">
            <v>09</v>
          </cell>
          <cell r="E1007" t="str">
            <v>594 00 00</v>
          </cell>
          <cell r="F1007" t="str">
            <v>500</v>
          </cell>
        </row>
        <row r="1008">
          <cell r="A1008" t="str">
            <v>Целевые программы муниципальных образований </v>
          </cell>
          <cell r="B1008" t="str">
            <v>903</v>
          </cell>
          <cell r="C1008" t="str">
            <v>07</v>
          </cell>
          <cell r="D1008" t="str">
            <v>09</v>
          </cell>
          <cell r="E1008" t="str">
            <v>795 00 00</v>
          </cell>
          <cell r="F1008" t="str">
            <v>000</v>
          </cell>
        </row>
        <row r="1009">
          <cell r="A1009" t="str">
            <v>Выполнение функций органами местного самоуправления</v>
          </cell>
          <cell r="B1009" t="str">
            <v>903</v>
          </cell>
          <cell r="C1009" t="str">
            <v>07</v>
          </cell>
          <cell r="D1009" t="str">
            <v>09</v>
          </cell>
          <cell r="E1009" t="str">
            <v>795 00 00</v>
          </cell>
          <cell r="F1009" t="str">
            <v>500</v>
          </cell>
        </row>
        <row r="1010">
          <cell r="A1010" t="str">
            <v>Расходы</v>
          </cell>
          <cell r="B1010" t="str">
            <v>903</v>
          </cell>
          <cell r="C1010" t="str">
            <v>07</v>
          </cell>
          <cell r="D1010" t="str">
            <v>09</v>
          </cell>
          <cell r="E1010" t="str">
            <v>795 00 00</v>
          </cell>
          <cell r="F1010" t="str">
            <v>500</v>
          </cell>
        </row>
        <row r="1011">
          <cell r="A1011" t="str">
            <v>Приобретение услуг</v>
          </cell>
          <cell r="B1011" t="str">
            <v>903</v>
          </cell>
          <cell r="C1011" t="str">
            <v>07</v>
          </cell>
          <cell r="D1011" t="str">
            <v>09</v>
          </cell>
          <cell r="E1011" t="str">
            <v>795 00 00</v>
          </cell>
          <cell r="F1011" t="str">
            <v>500</v>
          </cell>
        </row>
        <row r="1012">
          <cell r="A1012" t="str">
            <v>Обеспечение пожарной безопасности в образовательных учреждениях Усольского района на 2012-2014 год</v>
          </cell>
          <cell r="B1012" t="str">
            <v>903</v>
          </cell>
          <cell r="C1012" t="str">
            <v>07</v>
          </cell>
          <cell r="D1012" t="str">
            <v>09</v>
          </cell>
          <cell r="E1012" t="str">
            <v>795 01 00</v>
          </cell>
          <cell r="F1012" t="str">
            <v>000</v>
          </cell>
        </row>
        <row r="1013">
          <cell r="A1013" t="str">
            <v>Выполнение функций органами местного самоуправления</v>
          </cell>
          <cell r="B1013" t="str">
            <v>903</v>
          </cell>
          <cell r="C1013" t="str">
            <v>07</v>
          </cell>
          <cell r="D1013" t="str">
            <v>09</v>
          </cell>
          <cell r="E1013" t="str">
            <v>795 01 00</v>
          </cell>
          <cell r="F1013" t="str">
            <v>500</v>
          </cell>
        </row>
        <row r="1014">
          <cell r="A1014" t="str">
            <v>Информатизация системы образования Усольского района в 2012-2014г.</v>
          </cell>
          <cell r="B1014" t="str">
            <v>903</v>
          </cell>
          <cell r="C1014" t="str">
            <v>07</v>
          </cell>
          <cell r="D1014" t="str">
            <v>09</v>
          </cell>
          <cell r="E1014" t="str">
            <v>795 03 00</v>
          </cell>
          <cell r="F1014" t="str">
            <v>000</v>
          </cell>
        </row>
        <row r="1015">
          <cell r="A1015" t="str">
            <v>Выполнение функций органами местного самоуправления</v>
          </cell>
          <cell r="B1015" t="str">
            <v>903</v>
          </cell>
          <cell r="C1015" t="str">
            <v>07</v>
          </cell>
          <cell r="D1015" t="str">
            <v>09</v>
          </cell>
          <cell r="E1015" t="str">
            <v>795 03 00</v>
          </cell>
          <cell r="F1015" t="str">
            <v>500</v>
          </cell>
        </row>
        <row r="1016">
          <cell r="A1016" t="str">
            <v>Обеспечение охраны образовательных учреждений Усольского района в 2012-2014 г</v>
          </cell>
          <cell r="B1016" t="str">
            <v>903</v>
          </cell>
          <cell r="C1016" t="str">
            <v>07</v>
          </cell>
          <cell r="D1016" t="str">
            <v>09</v>
          </cell>
          <cell r="E1016" t="str">
            <v>795 05 00</v>
          </cell>
          <cell r="F1016" t="str">
            <v>000</v>
          </cell>
        </row>
        <row r="1017">
          <cell r="A1017" t="str">
            <v>Выполнение функций органами местного самоуправления</v>
          </cell>
          <cell r="B1017" t="str">
            <v>903</v>
          </cell>
          <cell r="C1017" t="str">
            <v>07</v>
          </cell>
          <cell r="D1017" t="str">
            <v>09</v>
          </cell>
          <cell r="E1017" t="str">
            <v>795 05 00</v>
          </cell>
          <cell r="F1017" t="str">
            <v>500</v>
          </cell>
        </row>
        <row r="1018">
          <cell r="A1018" t="str">
            <v>Обеспечение  безопасности школьных перевозок  детей  образовательными учреждениями  Усольского района в 2012-2014г</v>
          </cell>
          <cell r="B1018" t="str">
            <v>903</v>
          </cell>
          <cell r="C1018" t="str">
            <v>07</v>
          </cell>
          <cell r="D1018" t="str">
            <v>09</v>
          </cell>
          <cell r="E1018" t="str">
            <v>795 06 00</v>
          </cell>
          <cell r="F1018" t="str">
            <v>000</v>
          </cell>
        </row>
        <row r="1019">
          <cell r="A1019" t="str">
            <v>Выполнение функций органами местного самоуправления</v>
          </cell>
          <cell r="B1019" t="str">
            <v>903</v>
          </cell>
          <cell r="C1019" t="str">
            <v>07</v>
          </cell>
          <cell r="D1019" t="str">
            <v>09</v>
          </cell>
          <cell r="E1019" t="str">
            <v>795 06 00</v>
          </cell>
          <cell r="F1019" t="str">
            <v>500</v>
          </cell>
        </row>
        <row r="1020">
          <cell r="A1020" t="str">
            <v>Обучение и воспитание одаренных детей в Усольском районе на 2012-2014гг.</v>
          </cell>
          <cell r="B1020" t="str">
            <v>903</v>
          </cell>
          <cell r="C1020" t="str">
            <v>07</v>
          </cell>
          <cell r="D1020" t="str">
            <v>09</v>
          </cell>
          <cell r="E1020" t="str">
            <v>795 07 00</v>
          </cell>
          <cell r="F1020" t="str">
            <v>000</v>
          </cell>
        </row>
        <row r="1021">
          <cell r="A1021" t="str">
            <v>Выполнение функций органами местного самоуправления</v>
          </cell>
          <cell r="B1021" t="str">
            <v>903</v>
          </cell>
          <cell r="C1021" t="str">
            <v>07</v>
          </cell>
          <cell r="D1021" t="str">
            <v>09</v>
          </cell>
          <cell r="E1021" t="str">
            <v>795 07 00</v>
          </cell>
          <cell r="F1021" t="str">
            <v>500</v>
          </cell>
        </row>
        <row r="1022">
          <cell r="A1022" t="str">
            <v>Здоровое поколение в 2012-2014 г</v>
          </cell>
          <cell r="B1022" t="str">
            <v>903</v>
          </cell>
          <cell r="C1022" t="str">
            <v>07</v>
          </cell>
          <cell r="D1022" t="str">
            <v>09</v>
          </cell>
          <cell r="E1022" t="str">
            <v>795 08 00</v>
          </cell>
          <cell r="F1022" t="str">
            <v>000</v>
          </cell>
        </row>
        <row r="1023">
          <cell r="A1023" t="str">
            <v>Выполнение функций органами местного самоуправления</v>
          </cell>
          <cell r="B1023" t="str">
            <v>903</v>
          </cell>
          <cell r="C1023" t="str">
            <v>07</v>
          </cell>
          <cell r="D1023" t="str">
            <v>09</v>
          </cell>
          <cell r="E1023" t="str">
            <v>795 08 00</v>
          </cell>
          <cell r="F1023" t="str">
            <v>500</v>
          </cell>
        </row>
        <row r="1024">
          <cell r="A1024" t="str">
            <v>Улучшение условий охраны труда ,обеспечение санитарно-гигиенического благополучия в образовательных учреждениях Усольского района в 2012-2014гг</v>
          </cell>
          <cell r="B1024" t="str">
            <v>903</v>
          </cell>
          <cell r="C1024" t="str">
            <v>07</v>
          </cell>
          <cell r="D1024" t="str">
            <v>09</v>
          </cell>
          <cell r="E1024" t="str">
            <v>795 09 00</v>
          </cell>
          <cell r="F1024" t="str">
            <v>000</v>
          </cell>
        </row>
        <row r="1025">
          <cell r="A1025" t="str">
            <v>Выполнение функций органами местного самоуправления</v>
          </cell>
          <cell r="B1025" t="str">
            <v>903</v>
          </cell>
          <cell r="C1025" t="str">
            <v>07</v>
          </cell>
          <cell r="D1025" t="str">
            <v>09</v>
          </cell>
          <cell r="E1025" t="str">
            <v>795 09 00</v>
          </cell>
          <cell r="F1025" t="str">
            <v>500</v>
          </cell>
        </row>
        <row r="1026">
          <cell r="A1026" t="str">
            <v>Развитие дошкольного образования на территории  Усольского района 2012-2014 г</v>
          </cell>
          <cell r="B1026" t="str">
            <v>903</v>
          </cell>
          <cell r="C1026" t="str">
            <v>07</v>
          </cell>
          <cell r="D1026" t="str">
            <v>09</v>
          </cell>
          <cell r="E1026" t="str">
            <v>795 10 00</v>
          </cell>
          <cell r="F1026" t="str">
            <v>000</v>
          </cell>
        </row>
        <row r="1027">
          <cell r="A1027" t="str">
            <v>Выполнение функций органами местного самоуправления</v>
          </cell>
          <cell r="B1027" t="str">
            <v>903</v>
          </cell>
          <cell r="C1027" t="str">
            <v>07</v>
          </cell>
          <cell r="D1027" t="str">
            <v>09</v>
          </cell>
          <cell r="E1027" t="str">
            <v>795 10 00</v>
          </cell>
          <cell r="F1027" t="str">
            <v>500</v>
          </cell>
        </row>
        <row r="1028">
          <cell r="A1028" t="str">
            <v>Демографическое развитие УРМО на 2009-2012 гг</v>
          </cell>
          <cell r="B1028" t="str">
            <v>903</v>
          </cell>
          <cell r="C1028" t="str">
            <v>07</v>
          </cell>
          <cell r="D1028" t="str">
            <v>09</v>
          </cell>
          <cell r="E1028" t="str">
            <v>795 31 00</v>
          </cell>
          <cell r="F1028" t="str">
            <v>000</v>
          </cell>
        </row>
        <row r="1029">
          <cell r="A1029" t="str">
            <v>Выполнение функций органами местного самоуправления</v>
          </cell>
          <cell r="B1029" t="str">
            <v>903</v>
          </cell>
          <cell r="C1029" t="str">
            <v>07</v>
          </cell>
          <cell r="D1029" t="str">
            <v>09</v>
          </cell>
          <cell r="E1029" t="str">
            <v>795 31 00</v>
          </cell>
          <cell r="F1029" t="str">
            <v>500</v>
          </cell>
        </row>
        <row r="1030">
          <cell r="A1030" t="str">
            <v>Совершенствование организации питания в образовательных учреждениях Усольского района на 2011-2012гг</v>
          </cell>
          <cell r="B1030" t="str">
            <v>903</v>
          </cell>
          <cell r="C1030" t="str">
            <v>07</v>
          </cell>
          <cell r="D1030" t="str">
            <v>09</v>
          </cell>
          <cell r="E1030" t="str">
            <v>795 33 00</v>
          </cell>
          <cell r="F1030" t="str">
            <v>000</v>
          </cell>
        </row>
        <row r="1031">
          <cell r="A1031" t="str">
            <v>Прочие услуги</v>
          </cell>
          <cell r="B1031" t="str">
            <v>903</v>
          </cell>
          <cell r="C1031" t="str">
            <v>07</v>
          </cell>
          <cell r="D1031" t="str">
            <v>09</v>
          </cell>
          <cell r="E1031" t="str">
            <v>795 09 00</v>
          </cell>
          <cell r="F1031" t="str">
            <v>500</v>
          </cell>
        </row>
        <row r="1032">
          <cell r="A1032" t="str">
            <v>Прочие услуги</v>
          </cell>
          <cell r="B1032" t="str">
            <v>903</v>
          </cell>
          <cell r="C1032" t="str">
            <v>07</v>
          </cell>
          <cell r="D1032" t="str">
            <v>09</v>
          </cell>
          <cell r="E1032" t="str">
            <v>795 10 00</v>
          </cell>
          <cell r="F1032" t="str">
            <v>500</v>
          </cell>
        </row>
        <row r="1033">
          <cell r="A1033" t="str">
            <v>Прочие услуги</v>
          </cell>
          <cell r="B1033" t="str">
            <v>903</v>
          </cell>
          <cell r="C1033" t="str">
            <v>07</v>
          </cell>
          <cell r="D1033" t="str">
            <v>09</v>
          </cell>
          <cell r="E1033" t="str">
            <v>795 00 00</v>
          </cell>
          <cell r="F1033" t="str">
            <v>500</v>
          </cell>
        </row>
        <row r="1034">
          <cell r="A1034" t="str">
            <v>Прочие услуги</v>
          </cell>
          <cell r="B1034" t="str">
            <v>903</v>
          </cell>
          <cell r="C1034" t="str">
            <v>07</v>
          </cell>
          <cell r="D1034" t="str">
            <v>09</v>
          </cell>
          <cell r="E1034" t="str">
            <v>795 00 00</v>
          </cell>
          <cell r="F1034" t="str">
            <v>500</v>
          </cell>
        </row>
        <row r="1035">
          <cell r="A1035" t="str">
            <v>Прочие расходы </v>
          </cell>
          <cell r="B1035" t="str">
            <v>903</v>
          </cell>
          <cell r="C1035" t="str">
            <v>07</v>
          </cell>
          <cell r="D1035" t="str">
            <v>09</v>
          </cell>
          <cell r="E1035" t="str">
            <v>795 00 00</v>
          </cell>
          <cell r="F1035" t="str">
            <v>500</v>
          </cell>
        </row>
        <row r="1036">
          <cell r="A1036" t="str">
            <v>Поступление нефинансовых активов</v>
          </cell>
          <cell r="B1036" t="str">
            <v>903</v>
          </cell>
          <cell r="C1036" t="str">
            <v>07</v>
          </cell>
          <cell r="D1036" t="str">
            <v>09</v>
          </cell>
          <cell r="E1036" t="str">
            <v>795 00 00</v>
          </cell>
          <cell r="F1036" t="str">
            <v>500</v>
          </cell>
        </row>
        <row r="1037">
          <cell r="A1037" t="str">
            <v>Увеличение стоимости основных средств</v>
          </cell>
          <cell r="B1037" t="str">
            <v>903</v>
          </cell>
          <cell r="C1037" t="str">
            <v>07</v>
          </cell>
          <cell r="D1037" t="str">
            <v>09</v>
          </cell>
          <cell r="E1037" t="str">
            <v>795 00 00</v>
          </cell>
          <cell r="F1037" t="str">
            <v>500</v>
          </cell>
        </row>
        <row r="1038">
          <cell r="A1038" t="str">
            <v>Увеличение стоимости материальных запасов </v>
          </cell>
          <cell r="B1038" t="str">
            <v>903</v>
          </cell>
          <cell r="C1038" t="str">
            <v>07</v>
          </cell>
          <cell r="D1038" t="str">
            <v>09</v>
          </cell>
          <cell r="E1038" t="str">
            <v>795 00 00</v>
          </cell>
          <cell r="F1038" t="str">
            <v>500</v>
          </cell>
        </row>
        <row r="1039">
          <cell r="A1039" t="str">
            <v>Прочие услуги</v>
          </cell>
          <cell r="B1039" t="str">
            <v>903</v>
          </cell>
          <cell r="C1039" t="str">
            <v>07</v>
          </cell>
          <cell r="D1039" t="str">
            <v>09</v>
          </cell>
          <cell r="E1039" t="str">
            <v>795 33 00</v>
          </cell>
          <cell r="F1039" t="str">
            <v>500</v>
          </cell>
        </row>
        <row r="1040">
          <cell r="A1040" t="str">
            <v>Прочие расходы </v>
          </cell>
          <cell r="B1040" t="str">
            <v>903</v>
          </cell>
          <cell r="C1040" t="str">
            <v>07</v>
          </cell>
          <cell r="D1040" t="str">
            <v>09</v>
          </cell>
          <cell r="E1040" t="str">
            <v>795 01 00</v>
          </cell>
          <cell r="F1040" t="str">
            <v>500</v>
          </cell>
        </row>
        <row r="1041">
          <cell r="A1041" t="str">
            <v>Прочие расходы </v>
          </cell>
          <cell r="B1041" t="str">
            <v>903</v>
          </cell>
          <cell r="C1041" t="str">
            <v>07</v>
          </cell>
          <cell r="D1041" t="str">
            <v>09</v>
          </cell>
          <cell r="E1041" t="str">
            <v>795 07 00</v>
          </cell>
          <cell r="F1041" t="str">
            <v>500</v>
          </cell>
        </row>
        <row r="1042">
          <cell r="B1042" t="str">
            <v>903</v>
          </cell>
          <cell r="C1042" t="str">
            <v>07</v>
          </cell>
          <cell r="D1042" t="str">
            <v>09</v>
          </cell>
          <cell r="E1042" t="str">
            <v>795 08 00</v>
          </cell>
          <cell r="F1042" t="str">
            <v>500</v>
          </cell>
        </row>
        <row r="1043">
          <cell r="A1043" t="str">
            <v>Поступление нефинансовых активов</v>
          </cell>
          <cell r="B1043" t="str">
            <v>903</v>
          </cell>
          <cell r="C1043" t="str">
            <v>07</v>
          </cell>
          <cell r="D1043" t="str">
            <v>09</v>
          </cell>
          <cell r="E1043" t="str">
            <v>795 03 00</v>
          </cell>
          <cell r="F1043" t="str">
            <v>500</v>
          </cell>
        </row>
        <row r="1044">
          <cell r="B1044" t="str">
            <v>903</v>
          </cell>
          <cell r="C1044" t="str">
            <v>07</v>
          </cell>
          <cell r="D1044" t="str">
            <v>09</v>
          </cell>
          <cell r="E1044" t="str">
            <v>795 01 00</v>
          </cell>
          <cell r="F1044" t="str">
            <v>500</v>
          </cell>
        </row>
        <row r="1045">
          <cell r="A1045" t="str">
            <v>Увеличение стоимости основных средств</v>
          </cell>
          <cell r="B1045" t="str">
            <v>903</v>
          </cell>
          <cell r="C1045" t="str">
            <v>07</v>
          </cell>
          <cell r="D1045" t="str">
            <v>09</v>
          </cell>
          <cell r="E1045" t="str">
            <v>795 03 00</v>
          </cell>
          <cell r="F1045" t="str">
            <v>500</v>
          </cell>
        </row>
        <row r="1046">
          <cell r="B1046" t="str">
            <v>903</v>
          </cell>
          <cell r="C1046" t="str">
            <v>07</v>
          </cell>
          <cell r="D1046" t="str">
            <v>09</v>
          </cell>
          <cell r="E1046" t="str">
            <v>795 09 00</v>
          </cell>
          <cell r="F1046" t="str">
            <v>500</v>
          </cell>
        </row>
        <row r="1047">
          <cell r="A1047" t="str">
            <v>Увеличение стоимости основных средств</v>
          </cell>
          <cell r="B1047" t="str">
            <v>903</v>
          </cell>
          <cell r="C1047" t="str">
            <v>07</v>
          </cell>
          <cell r="D1047" t="str">
            <v>09</v>
          </cell>
          <cell r="E1047" t="str">
            <v>795 06 00</v>
          </cell>
          <cell r="F1047" t="str">
            <v>500</v>
          </cell>
        </row>
        <row r="1048">
          <cell r="A1048" t="str">
            <v>Увеличение стоимости основных средств</v>
          </cell>
          <cell r="B1048" t="str">
            <v>903</v>
          </cell>
          <cell r="C1048" t="str">
            <v>07</v>
          </cell>
          <cell r="D1048" t="str">
            <v>09</v>
          </cell>
          <cell r="E1048" t="str">
            <v>795 10 00</v>
          </cell>
          <cell r="F1048" t="str">
            <v>500</v>
          </cell>
        </row>
        <row r="1049">
          <cell r="A1049" t="str">
            <v>Увеличение стоимости материальных запасов</v>
          </cell>
          <cell r="B1049" t="str">
            <v>903</v>
          </cell>
          <cell r="C1049" t="str">
            <v>07</v>
          </cell>
          <cell r="D1049" t="str">
            <v>09</v>
          </cell>
          <cell r="E1049" t="str">
            <v>795 01 00</v>
          </cell>
          <cell r="F1049" t="str">
            <v>500</v>
          </cell>
        </row>
        <row r="1050">
          <cell r="A1050" t="str">
            <v>Увеличение стоимости материальных запасов</v>
          </cell>
          <cell r="B1050" t="str">
            <v>903</v>
          </cell>
          <cell r="C1050" t="str">
            <v>07</v>
          </cell>
          <cell r="D1050" t="str">
            <v>09</v>
          </cell>
          <cell r="E1050" t="str">
            <v>795 06 00</v>
          </cell>
          <cell r="F1050" t="str">
            <v>500</v>
          </cell>
        </row>
        <row r="1052">
          <cell r="A1052" t="str">
            <v>Увеличение стоимости материальных запасов</v>
          </cell>
          <cell r="B1052" t="str">
            <v>903</v>
          </cell>
          <cell r="C1052" t="str">
            <v>07</v>
          </cell>
          <cell r="D1052" t="str">
            <v>09</v>
          </cell>
          <cell r="E1052" t="str">
            <v>795 07 00</v>
          </cell>
          <cell r="F1052" t="str">
            <v>500</v>
          </cell>
        </row>
        <row r="1053">
          <cell r="B1053" t="str">
            <v>903</v>
          </cell>
          <cell r="C1053" t="str">
            <v>07</v>
          </cell>
          <cell r="D1053" t="str">
            <v>09</v>
          </cell>
          <cell r="E1053" t="str">
            <v>795 09 00</v>
          </cell>
          <cell r="F1053" t="str">
            <v>500</v>
          </cell>
        </row>
        <row r="1054">
          <cell r="A1054" t="str">
            <v>Увеличение стоимости материальных запасов</v>
          </cell>
          <cell r="B1054" t="str">
            <v>903</v>
          </cell>
          <cell r="C1054" t="str">
            <v>07</v>
          </cell>
          <cell r="D1054" t="str">
            <v>09</v>
          </cell>
          <cell r="E1054" t="str">
            <v>795 08 00</v>
          </cell>
          <cell r="F1054" t="str">
            <v>500</v>
          </cell>
        </row>
        <row r="1055">
          <cell r="A1055" t="str">
            <v>Увеличение стоимости материальных запасов</v>
          </cell>
          <cell r="B1055" t="str">
            <v>903</v>
          </cell>
          <cell r="C1055" t="str">
            <v>07</v>
          </cell>
          <cell r="D1055" t="str">
            <v>09</v>
          </cell>
          <cell r="E1055" t="str">
            <v>795 10 00</v>
          </cell>
          <cell r="F1055" t="str">
            <v>500</v>
          </cell>
        </row>
        <row r="1056">
          <cell r="A1056" t="str">
            <v>Образование </v>
          </cell>
          <cell r="C1056" t="str">
            <v>07</v>
          </cell>
          <cell r="D1056" t="str">
            <v>00</v>
          </cell>
          <cell r="E1056" t="str">
            <v>000 00 00</v>
          </cell>
          <cell r="F1056" t="str">
            <v>000</v>
          </cell>
        </row>
        <row r="1057">
          <cell r="A1057" t="str">
            <v>Расходы</v>
          </cell>
          <cell r="C1057" t="str">
            <v>07</v>
          </cell>
          <cell r="D1057" t="str">
            <v>00</v>
          </cell>
          <cell r="E1057" t="str">
            <v>000 00 00</v>
          </cell>
          <cell r="F1057" t="str">
            <v>000</v>
          </cell>
        </row>
        <row r="1058">
          <cell r="A1058" t="str">
            <v>Оплата труда и начисления на оплату труда</v>
          </cell>
          <cell r="C1058" t="str">
            <v>07</v>
          </cell>
          <cell r="D1058" t="str">
            <v>00</v>
          </cell>
          <cell r="E1058" t="str">
            <v>000 00 00</v>
          </cell>
          <cell r="F1058" t="str">
            <v>000</v>
          </cell>
        </row>
        <row r="1059">
          <cell r="A1059" t="str">
            <v>Заработная плата</v>
          </cell>
          <cell r="C1059" t="str">
            <v>07</v>
          </cell>
          <cell r="D1059" t="str">
            <v>00</v>
          </cell>
          <cell r="E1059" t="str">
            <v>000 00 00</v>
          </cell>
          <cell r="F1059" t="str">
            <v>000</v>
          </cell>
        </row>
        <row r="1060">
          <cell r="A1060" t="str">
            <v>Прочие выплаты</v>
          </cell>
          <cell r="C1060" t="str">
            <v>07</v>
          </cell>
          <cell r="D1060" t="str">
            <v>00</v>
          </cell>
          <cell r="E1060" t="str">
            <v>000 00 00</v>
          </cell>
          <cell r="F1060" t="str">
            <v>000</v>
          </cell>
        </row>
        <row r="1061">
          <cell r="A1061" t="str">
            <v>Начисление на оплату труда</v>
          </cell>
          <cell r="C1061" t="str">
            <v>07</v>
          </cell>
          <cell r="D1061" t="str">
            <v>00</v>
          </cell>
          <cell r="E1061" t="str">
            <v>000 00 00</v>
          </cell>
          <cell r="F1061" t="str">
            <v>000</v>
          </cell>
        </row>
        <row r="1062">
          <cell r="A1062" t="str">
            <v>Приобретение услуг</v>
          </cell>
          <cell r="C1062" t="str">
            <v>07</v>
          </cell>
          <cell r="D1062" t="str">
            <v>00</v>
          </cell>
          <cell r="E1062" t="str">
            <v>000 00 00</v>
          </cell>
          <cell r="F1062" t="str">
            <v>000</v>
          </cell>
        </row>
        <row r="1063">
          <cell r="A1063" t="str">
            <v>Услуги связи </v>
          </cell>
          <cell r="C1063" t="str">
            <v>07</v>
          </cell>
          <cell r="D1063" t="str">
            <v>00</v>
          </cell>
          <cell r="E1063" t="str">
            <v>000 00 00</v>
          </cell>
          <cell r="F1063" t="str">
            <v>000</v>
          </cell>
        </row>
        <row r="1064">
          <cell r="A1064" t="str">
            <v>Транспортные услуги</v>
          </cell>
          <cell r="C1064" t="str">
            <v>07</v>
          </cell>
          <cell r="D1064" t="str">
            <v>00</v>
          </cell>
          <cell r="E1064" t="str">
            <v>000 00 00</v>
          </cell>
          <cell r="F1064" t="str">
            <v>000</v>
          </cell>
        </row>
        <row r="1065">
          <cell r="A1065" t="str">
            <v>Коммунальные услуги</v>
          </cell>
          <cell r="C1065" t="str">
            <v>07</v>
          </cell>
          <cell r="D1065" t="str">
            <v>00</v>
          </cell>
          <cell r="E1065" t="str">
            <v>000 00 00</v>
          </cell>
          <cell r="F1065" t="str">
            <v>000</v>
          </cell>
        </row>
        <row r="1066">
          <cell r="A1066" t="str">
            <v>Арендная плата за пользование иммуществом </v>
          </cell>
          <cell r="C1066" t="str">
            <v>07</v>
          </cell>
          <cell r="D1066" t="str">
            <v>00</v>
          </cell>
          <cell r="E1066" t="str">
            <v>000 00 00</v>
          </cell>
          <cell r="F1066" t="str">
            <v>000</v>
          </cell>
        </row>
        <row r="1067">
          <cell r="A1067" t="str">
            <v>Услуги по содержанию иммущества</v>
          </cell>
          <cell r="C1067" t="str">
            <v>07</v>
          </cell>
          <cell r="D1067" t="str">
            <v>00</v>
          </cell>
          <cell r="E1067" t="str">
            <v>000 00 00</v>
          </cell>
          <cell r="F1067" t="str">
            <v>000</v>
          </cell>
        </row>
        <row r="1068">
          <cell r="A1068" t="str">
            <v>Безвозмездные и безвозвратные перечисления государственным и муниципальным организациям</v>
          </cell>
          <cell r="C1068" t="str">
            <v>07</v>
          </cell>
          <cell r="D1068" t="str">
            <v>00</v>
          </cell>
          <cell r="E1068" t="str">
            <v>000 00 00</v>
          </cell>
          <cell r="F1068" t="str">
            <v>000</v>
          </cell>
        </row>
        <row r="1069">
          <cell r="A1069" t="str">
            <v>Прочие услуги</v>
          </cell>
          <cell r="C1069" t="str">
            <v>07</v>
          </cell>
          <cell r="D1069" t="str">
            <v>00</v>
          </cell>
          <cell r="E1069" t="str">
            <v>000 00 00</v>
          </cell>
          <cell r="F1069" t="str">
            <v>000</v>
          </cell>
        </row>
        <row r="1070">
          <cell r="A1070" t="str">
            <v>Социальное обеспечение</v>
          </cell>
          <cell r="C1070" t="str">
            <v>07</v>
          </cell>
          <cell r="D1070" t="str">
            <v>00</v>
          </cell>
          <cell r="E1070" t="str">
            <v>000 00 00</v>
          </cell>
          <cell r="F1070" t="str">
            <v>000</v>
          </cell>
        </row>
        <row r="1071">
          <cell r="A1071" t="str">
            <v>Пособия по социальной помощи населению</v>
          </cell>
          <cell r="C1071" t="str">
            <v>07</v>
          </cell>
          <cell r="D1071" t="str">
            <v>00</v>
          </cell>
          <cell r="E1071" t="str">
            <v>000 00 00</v>
          </cell>
          <cell r="F1071" t="str">
            <v>000</v>
          </cell>
        </row>
        <row r="1072">
          <cell r="A1072" t="str">
            <v>Прочие расходы</v>
          </cell>
          <cell r="C1072" t="str">
            <v>07</v>
          </cell>
          <cell r="D1072" t="str">
            <v>00</v>
          </cell>
          <cell r="E1072" t="str">
            <v>000 00 00</v>
          </cell>
          <cell r="F1072" t="str">
            <v>000</v>
          </cell>
        </row>
        <row r="1073">
          <cell r="A1073" t="str">
            <v>Поступление нефинансовых активов</v>
          </cell>
          <cell r="C1073" t="str">
            <v>07</v>
          </cell>
          <cell r="D1073" t="str">
            <v>00</v>
          </cell>
          <cell r="E1073" t="str">
            <v>000 00 00</v>
          </cell>
          <cell r="F1073" t="str">
            <v>000</v>
          </cell>
        </row>
        <row r="1074">
          <cell r="A1074" t="str">
            <v>Увеличение стоимости основных средств</v>
          </cell>
          <cell r="C1074" t="str">
            <v>07</v>
          </cell>
          <cell r="D1074" t="str">
            <v>00</v>
          </cell>
          <cell r="E1074" t="str">
            <v>000 00 00</v>
          </cell>
          <cell r="F1074" t="str">
            <v>000</v>
          </cell>
        </row>
        <row r="1075">
          <cell r="A1075" t="str">
            <v>Увеличение стоимости материальных запасов</v>
          </cell>
          <cell r="C1075" t="str">
            <v>07</v>
          </cell>
          <cell r="D1075" t="str">
            <v>00</v>
          </cell>
          <cell r="E1075" t="str">
            <v>000 00 00</v>
          </cell>
          <cell r="F1075" t="str">
            <v>000</v>
          </cell>
        </row>
        <row r="1076">
          <cell r="A1076" t="str">
            <v>Пособие по социальной помощи населению </v>
          </cell>
          <cell r="C1076" t="str">
            <v>07</v>
          </cell>
          <cell r="D1076" t="str">
            <v>00</v>
          </cell>
          <cell r="E1076" t="str">
            <v>000 00 00</v>
          </cell>
          <cell r="F1076" t="str">
            <v>000</v>
          </cell>
        </row>
        <row r="1077">
          <cell r="A1077" t="str">
            <v>ИТОГО:</v>
          </cell>
          <cell r="C1077" t="str">
            <v>07</v>
          </cell>
          <cell r="D1077" t="str">
            <v>00</v>
          </cell>
          <cell r="E1077" t="str">
            <v>000 00 00</v>
          </cell>
          <cell r="F1077" t="str">
            <v>000</v>
          </cell>
        </row>
        <row r="1078">
          <cell r="A1078" t="str">
            <v>Выполнение функций органами местного самоуправления</v>
          </cell>
          <cell r="B1078" t="str">
            <v>903</v>
          </cell>
          <cell r="C1078" t="str">
            <v>07</v>
          </cell>
          <cell r="D1078" t="str">
            <v>09</v>
          </cell>
          <cell r="E1078" t="str">
            <v>795 33 00</v>
          </cell>
          <cell r="F1078" t="str">
            <v>500</v>
          </cell>
        </row>
        <row r="1079">
          <cell r="A1079" t="str">
            <v>Культура и кинематография </v>
          </cell>
          <cell r="B1079" t="str">
            <v>905</v>
          </cell>
          <cell r="C1079" t="str">
            <v>08</v>
          </cell>
          <cell r="D1079" t="str">
            <v>00</v>
          </cell>
          <cell r="E1079" t="str">
            <v>000 00 00</v>
          </cell>
          <cell r="F1079" t="str">
            <v>000</v>
          </cell>
        </row>
        <row r="1080">
          <cell r="A1080" t="str">
            <v>Культура </v>
          </cell>
          <cell r="B1080" t="str">
            <v>905</v>
          </cell>
          <cell r="C1080" t="str">
            <v>08</v>
          </cell>
          <cell r="D1080" t="str">
            <v>01</v>
          </cell>
          <cell r="E1080" t="str">
            <v>000 00 00</v>
          </cell>
          <cell r="F1080" t="str">
            <v>000</v>
          </cell>
        </row>
        <row r="1081">
          <cell r="A1081" t="str">
            <v>Дворцы и дома культуры, другие учреждения культуры </v>
          </cell>
          <cell r="B1081" t="str">
            <v>905</v>
          </cell>
          <cell r="C1081" t="str">
            <v>08</v>
          </cell>
          <cell r="D1081" t="str">
            <v>01</v>
          </cell>
          <cell r="E1081" t="str">
            <v>440 00 00</v>
          </cell>
          <cell r="F1081" t="str">
            <v>000</v>
          </cell>
        </row>
        <row r="1082">
          <cell r="A1082" t="str">
            <v>Обеспечение деятельности подведомственных учреждений</v>
          </cell>
          <cell r="B1082" t="str">
            <v>905</v>
          </cell>
          <cell r="C1082" t="str">
            <v>08</v>
          </cell>
          <cell r="D1082" t="str">
            <v>01</v>
          </cell>
          <cell r="E1082" t="str">
            <v>440 99 00</v>
          </cell>
          <cell r="F1082" t="str">
            <v>000</v>
          </cell>
        </row>
        <row r="1083">
          <cell r="A1083" t="str">
            <v>Субсидии некоммерческим организациям</v>
          </cell>
          <cell r="B1083" t="str">
            <v>905</v>
          </cell>
          <cell r="C1083" t="str">
            <v>08</v>
          </cell>
          <cell r="D1083" t="str">
            <v>01</v>
          </cell>
          <cell r="E1083" t="str">
            <v>440 99 00</v>
          </cell>
          <cell r="F1083" t="str">
            <v>019</v>
          </cell>
        </row>
        <row r="1084">
          <cell r="A1084" t="str">
            <v>Расходы</v>
          </cell>
          <cell r="B1084" t="str">
            <v>905</v>
          </cell>
          <cell r="C1084" t="str">
            <v>08</v>
          </cell>
          <cell r="D1084" t="str">
            <v>01</v>
          </cell>
          <cell r="E1084" t="str">
            <v>440 99 00</v>
          </cell>
          <cell r="F1084" t="str">
            <v>001</v>
          </cell>
        </row>
        <row r="1085">
          <cell r="A1085" t="str">
            <v>Оплата труда и начисления на оплату труда</v>
          </cell>
          <cell r="B1085" t="str">
            <v>905</v>
          </cell>
          <cell r="C1085" t="str">
            <v>08</v>
          </cell>
          <cell r="D1085" t="str">
            <v>01</v>
          </cell>
          <cell r="E1085" t="str">
            <v>440 99 00</v>
          </cell>
          <cell r="F1085" t="str">
            <v>001</v>
          </cell>
        </row>
        <row r="1086">
          <cell r="A1086" t="str">
            <v>Заработная плата</v>
          </cell>
          <cell r="B1086" t="str">
            <v>905</v>
          </cell>
          <cell r="C1086" t="str">
            <v>08</v>
          </cell>
          <cell r="D1086" t="str">
            <v>01</v>
          </cell>
          <cell r="E1086" t="str">
            <v>440 99 00</v>
          </cell>
          <cell r="F1086" t="str">
            <v>001</v>
          </cell>
        </row>
        <row r="1087">
          <cell r="A1087" t="str">
            <v>Прочие выплаты</v>
          </cell>
          <cell r="B1087" t="str">
            <v>905</v>
          </cell>
          <cell r="C1087" t="str">
            <v>08</v>
          </cell>
          <cell r="D1087" t="str">
            <v>01</v>
          </cell>
          <cell r="E1087" t="str">
            <v>440 99 00</v>
          </cell>
          <cell r="F1087" t="str">
            <v>001</v>
          </cell>
        </row>
        <row r="1088">
          <cell r="A1088" t="str">
            <v>Начисление на оплату труда</v>
          </cell>
          <cell r="B1088" t="str">
            <v>905</v>
          </cell>
          <cell r="C1088" t="str">
            <v>08</v>
          </cell>
          <cell r="D1088" t="str">
            <v>01</v>
          </cell>
          <cell r="E1088" t="str">
            <v>440 99 00</v>
          </cell>
          <cell r="F1088" t="str">
            <v>001</v>
          </cell>
        </row>
        <row r="1089">
          <cell r="A1089" t="str">
            <v>Приобретение услуг</v>
          </cell>
          <cell r="B1089" t="str">
            <v>905</v>
          </cell>
          <cell r="C1089" t="str">
            <v>08</v>
          </cell>
          <cell r="D1089" t="str">
            <v>01</v>
          </cell>
          <cell r="E1089" t="str">
            <v>440 99 00</v>
          </cell>
          <cell r="F1089" t="str">
            <v>001</v>
          </cell>
        </row>
        <row r="1090">
          <cell r="A1090" t="str">
            <v>Услуги связи </v>
          </cell>
          <cell r="B1090" t="str">
            <v>905</v>
          </cell>
          <cell r="C1090" t="str">
            <v>08</v>
          </cell>
          <cell r="D1090" t="str">
            <v>01</v>
          </cell>
          <cell r="E1090" t="str">
            <v>440 99 00</v>
          </cell>
          <cell r="F1090" t="str">
            <v>001</v>
          </cell>
        </row>
        <row r="1091">
          <cell r="A1091" t="str">
            <v>Транспортные услуги</v>
          </cell>
          <cell r="B1091" t="str">
            <v>905</v>
          </cell>
          <cell r="C1091" t="str">
            <v>08</v>
          </cell>
          <cell r="D1091" t="str">
            <v>01</v>
          </cell>
          <cell r="E1091" t="str">
            <v>440 99 00</v>
          </cell>
          <cell r="F1091" t="str">
            <v>001</v>
          </cell>
        </row>
        <row r="1092">
          <cell r="A1092" t="str">
            <v>Коммунальные услуги</v>
          </cell>
          <cell r="B1092" t="str">
            <v>905</v>
          </cell>
          <cell r="C1092" t="str">
            <v>08</v>
          </cell>
          <cell r="D1092" t="str">
            <v>01</v>
          </cell>
          <cell r="E1092" t="str">
            <v>440 99 00</v>
          </cell>
          <cell r="F1092" t="str">
            <v>001</v>
          </cell>
        </row>
        <row r="1093">
          <cell r="A1093" t="str">
            <v>Арендная плата за пользование иммуществом </v>
          </cell>
          <cell r="B1093" t="str">
            <v>905</v>
          </cell>
          <cell r="C1093" t="str">
            <v>08</v>
          </cell>
          <cell r="D1093" t="str">
            <v>01</v>
          </cell>
          <cell r="E1093" t="str">
            <v>440 99 00</v>
          </cell>
          <cell r="F1093" t="str">
            <v>001</v>
          </cell>
        </row>
        <row r="1094">
          <cell r="A1094" t="str">
            <v>Услуги по содержанию имущества</v>
          </cell>
          <cell r="B1094" t="str">
            <v>905</v>
          </cell>
          <cell r="C1094" t="str">
            <v>08</v>
          </cell>
          <cell r="D1094" t="str">
            <v>01</v>
          </cell>
          <cell r="E1094" t="str">
            <v>440 99 00</v>
          </cell>
          <cell r="F1094" t="str">
            <v>001</v>
          </cell>
        </row>
        <row r="1095">
          <cell r="A1095" t="str">
            <v>Услуги по содержанию имущества 8,40,00</v>
          </cell>
          <cell r="B1095" t="str">
            <v>905</v>
          </cell>
          <cell r="C1095" t="str">
            <v>08</v>
          </cell>
          <cell r="D1095" t="str">
            <v>01</v>
          </cell>
          <cell r="E1095" t="str">
            <v>440 99 00</v>
          </cell>
          <cell r="F1095" t="str">
            <v>001</v>
          </cell>
        </row>
        <row r="1096">
          <cell r="A1096" t="str">
            <v>Услуги по содержанию имущества 8,40,01</v>
          </cell>
          <cell r="B1096" t="str">
            <v>905</v>
          </cell>
          <cell r="C1096" t="str">
            <v>08</v>
          </cell>
          <cell r="D1096" t="str">
            <v>01</v>
          </cell>
          <cell r="E1096" t="str">
            <v>440 99 00</v>
          </cell>
          <cell r="F1096" t="str">
            <v>001</v>
          </cell>
        </row>
        <row r="1097">
          <cell r="A1097" t="str">
            <v>Прочие услуги</v>
          </cell>
          <cell r="B1097" t="str">
            <v>905</v>
          </cell>
          <cell r="C1097" t="str">
            <v>08</v>
          </cell>
          <cell r="D1097" t="str">
            <v>01</v>
          </cell>
          <cell r="E1097" t="str">
            <v>440 99 00</v>
          </cell>
          <cell r="F1097" t="str">
            <v>001</v>
          </cell>
        </row>
        <row r="1098">
          <cell r="A1098" t="str">
            <v>Прочие расходы </v>
          </cell>
          <cell r="B1098" t="str">
            <v>905</v>
          </cell>
          <cell r="C1098" t="str">
            <v>08</v>
          </cell>
          <cell r="D1098" t="str">
            <v>01</v>
          </cell>
          <cell r="E1098" t="str">
            <v>440 99 00</v>
          </cell>
          <cell r="F1098" t="str">
            <v>001</v>
          </cell>
        </row>
        <row r="1099">
          <cell r="A1099" t="str">
            <v>Поступление нефинансовых активов</v>
          </cell>
          <cell r="B1099" t="str">
            <v>905</v>
          </cell>
          <cell r="C1099" t="str">
            <v>08</v>
          </cell>
          <cell r="D1099" t="str">
            <v>01</v>
          </cell>
          <cell r="E1099" t="str">
            <v>440 99 00</v>
          </cell>
          <cell r="F1099" t="str">
            <v>001</v>
          </cell>
        </row>
        <row r="1100">
          <cell r="A1100" t="str">
            <v>Увеличение стоимости основных средств</v>
          </cell>
          <cell r="B1100" t="str">
            <v>905</v>
          </cell>
          <cell r="C1100" t="str">
            <v>08</v>
          </cell>
          <cell r="D1100" t="str">
            <v>01</v>
          </cell>
          <cell r="E1100" t="str">
            <v>440 99 00</v>
          </cell>
          <cell r="F1100" t="str">
            <v>001</v>
          </cell>
        </row>
        <row r="1101">
          <cell r="A1101" t="str">
            <v>Увеличение стоимости материальных запасов</v>
          </cell>
          <cell r="B1101" t="str">
            <v>905</v>
          </cell>
          <cell r="C1101" t="str">
            <v>08</v>
          </cell>
          <cell r="D1101" t="str">
            <v>01</v>
          </cell>
          <cell r="E1101" t="str">
            <v>440 99 00</v>
          </cell>
          <cell r="F1101" t="str">
            <v>001</v>
          </cell>
        </row>
        <row r="1102">
          <cell r="A1102" t="str">
            <v>Увеличение стоимости материальных запасов 8,40,01</v>
          </cell>
          <cell r="B1102" t="str">
            <v>905</v>
          </cell>
          <cell r="C1102" t="str">
            <v>08</v>
          </cell>
          <cell r="D1102" t="str">
            <v>01</v>
          </cell>
          <cell r="E1102" t="str">
            <v>441 99 00</v>
          </cell>
          <cell r="F1102" t="str">
            <v>001</v>
          </cell>
        </row>
        <row r="1103">
          <cell r="A1103" t="str">
            <v>8,40,02</v>
          </cell>
          <cell r="B1103" t="str">
            <v>905</v>
          </cell>
          <cell r="C1103" t="str">
            <v>08</v>
          </cell>
          <cell r="D1103" t="str">
            <v>01</v>
          </cell>
          <cell r="E1103" t="str">
            <v>440 99 00</v>
          </cell>
          <cell r="F1103" t="str">
            <v>001</v>
          </cell>
        </row>
        <row r="1104">
          <cell r="A1104" t="str">
            <v>Долгосрочная целевая программа Иркутской области «100 модельных домов культуры Приангарью» на 2011-2014 годы</v>
          </cell>
          <cell r="B1104" t="str">
            <v>905</v>
          </cell>
          <cell r="C1104" t="str">
            <v>08</v>
          </cell>
          <cell r="D1104" t="str">
            <v>01</v>
          </cell>
          <cell r="E1104" t="str">
            <v>522 55 00</v>
          </cell>
          <cell r="F1104" t="str">
            <v>000</v>
          </cell>
        </row>
        <row r="1105">
          <cell r="A1105" t="str">
            <v>Выполнение функций бюджетными учреждениями ОБ</v>
          </cell>
          <cell r="B1105" t="str">
            <v>905</v>
          </cell>
          <cell r="C1105" t="str">
            <v>08</v>
          </cell>
          <cell r="D1105" t="str">
            <v>01</v>
          </cell>
          <cell r="E1105" t="str">
            <v>522 55 00</v>
          </cell>
          <cell r="F1105" t="str">
            <v>010</v>
          </cell>
        </row>
        <row r="1106">
          <cell r="A1106" t="str">
            <v>Софинансирование программы "100 модельных домов культуры Приангарью" (Доп.ЭК 8.70.08.00)</v>
          </cell>
          <cell r="B1106" t="str">
            <v>905</v>
          </cell>
          <cell r="C1106" t="str">
            <v>08</v>
          </cell>
          <cell r="D1106" t="str">
            <v>01</v>
          </cell>
          <cell r="E1106" t="str">
            <v>440 99 00</v>
          </cell>
          <cell r="F1106" t="str">
            <v>019</v>
          </cell>
        </row>
        <row r="1107">
          <cell r="A1107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107" t="str">
            <v>905</v>
          </cell>
          <cell r="C1107" t="str">
            <v>08</v>
          </cell>
          <cell r="D1107" t="str">
            <v>01</v>
          </cell>
          <cell r="E1107" t="str">
            <v>590 00 00</v>
          </cell>
          <cell r="F1107" t="str">
            <v>000</v>
          </cell>
        </row>
        <row r="1108">
          <cell r="A1108" t="str">
            <v>Субсидии некоммерческим организациям</v>
          </cell>
          <cell r="B1108" t="str">
            <v>905</v>
          </cell>
          <cell r="C1108" t="str">
            <v>08</v>
          </cell>
          <cell r="D1108" t="str">
            <v>01</v>
          </cell>
          <cell r="E1108" t="str">
            <v>590 00 00</v>
          </cell>
          <cell r="F1108" t="str">
            <v>019</v>
          </cell>
        </row>
        <row r="1109">
          <cell r="A1109" t="str">
            <v>Библиотеки</v>
          </cell>
          <cell r="B1109" t="str">
            <v>905</v>
          </cell>
          <cell r="C1109" t="str">
            <v>08</v>
          </cell>
          <cell r="D1109" t="str">
            <v>01</v>
          </cell>
          <cell r="E1109" t="str">
            <v>442 00 00</v>
          </cell>
          <cell r="F1109" t="str">
            <v>000</v>
          </cell>
        </row>
        <row r="1110">
          <cell r="A1110" t="str">
            <v>Обеспечение деятельности подведомственных учреждений</v>
          </cell>
          <cell r="B1110" t="str">
            <v>905</v>
          </cell>
          <cell r="C1110" t="str">
            <v>08</v>
          </cell>
          <cell r="D1110" t="str">
            <v>01</v>
          </cell>
          <cell r="E1110" t="str">
            <v>442 99 00</v>
          </cell>
          <cell r="F1110" t="str">
            <v>000</v>
          </cell>
        </row>
        <row r="1111">
          <cell r="A1111" t="str">
            <v>Субсидии некоммерческим организациям</v>
          </cell>
          <cell r="B1111" t="str">
            <v>905</v>
          </cell>
          <cell r="C1111" t="str">
            <v>08</v>
          </cell>
          <cell r="D1111" t="str">
            <v>01</v>
          </cell>
          <cell r="E1111" t="str">
            <v>442 99 00</v>
          </cell>
          <cell r="F1111" t="str">
            <v>019</v>
          </cell>
        </row>
        <row r="1112">
          <cell r="A1112" t="str">
            <v>Расходы</v>
          </cell>
          <cell r="B1112" t="str">
            <v>905</v>
          </cell>
          <cell r="C1112" t="str">
            <v>08</v>
          </cell>
          <cell r="D1112" t="str">
            <v>01</v>
          </cell>
          <cell r="E1112" t="str">
            <v>442 99 00</v>
          </cell>
          <cell r="F1112" t="str">
            <v>001</v>
          </cell>
        </row>
        <row r="1113">
          <cell r="A1113" t="str">
            <v>Оплата труда и начисления на оплату труда</v>
          </cell>
          <cell r="B1113" t="str">
            <v>905</v>
          </cell>
          <cell r="C1113" t="str">
            <v>08</v>
          </cell>
          <cell r="D1113" t="str">
            <v>01</v>
          </cell>
          <cell r="E1113" t="str">
            <v>442 99 00</v>
          </cell>
          <cell r="F1113" t="str">
            <v>001</v>
          </cell>
        </row>
        <row r="1114">
          <cell r="A1114" t="str">
            <v>Заработная плата</v>
          </cell>
          <cell r="B1114" t="str">
            <v>905</v>
          </cell>
          <cell r="C1114" t="str">
            <v>08</v>
          </cell>
          <cell r="D1114" t="str">
            <v>01</v>
          </cell>
          <cell r="E1114" t="str">
            <v>442 99 00</v>
          </cell>
          <cell r="F1114" t="str">
            <v>001</v>
          </cell>
        </row>
        <row r="1115">
          <cell r="A1115" t="str">
            <v>Прочие выплаты</v>
          </cell>
          <cell r="B1115" t="str">
            <v>905</v>
          </cell>
          <cell r="C1115" t="str">
            <v>08</v>
          </cell>
          <cell r="D1115" t="str">
            <v>01</v>
          </cell>
          <cell r="E1115" t="str">
            <v>442 99 00</v>
          </cell>
          <cell r="F1115" t="str">
            <v>001</v>
          </cell>
        </row>
        <row r="1116">
          <cell r="A1116" t="str">
            <v>Начисление на оплату труда</v>
          </cell>
          <cell r="B1116" t="str">
            <v>905</v>
          </cell>
          <cell r="C1116" t="str">
            <v>08</v>
          </cell>
          <cell r="D1116" t="str">
            <v>01</v>
          </cell>
          <cell r="E1116" t="str">
            <v>442 99 00</v>
          </cell>
          <cell r="F1116" t="str">
            <v>001</v>
          </cell>
        </row>
        <row r="1117">
          <cell r="A1117" t="str">
            <v>Приобретение услуг</v>
          </cell>
          <cell r="B1117" t="str">
            <v>905</v>
          </cell>
          <cell r="C1117" t="str">
            <v>08</v>
          </cell>
          <cell r="D1117" t="str">
            <v>01</v>
          </cell>
          <cell r="E1117" t="str">
            <v>442 99 00</v>
          </cell>
          <cell r="F1117" t="str">
            <v>001</v>
          </cell>
        </row>
        <row r="1118">
          <cell r="A1118" t="str">
            <v>Услуги связи </v>
          </cell>
          <cell r="B1118" t="str">
            <v>905</v>
          </cell>
          <cell r="C1118" t="str">
            <v>08</v>
          </cell>
          <cell r="D1118" t="str">
            <v>01</v>
          </cell>
          <cell r="E1118" t="str">
            <v>442 99 00</v>
          </cell>
          <cell r="F1118" t="str">
            <v>001</v>
          </cell>
        </row>
        <row r="1119">
          <cell r="A1119" t="str">
            <v>Транспортные услуги</v>
          </cell>
          <cell r="B1119" t="str">
            <v>905</v>
          </cell>
          <cell r="C1119" t="str">
            <v>08</v>
          </cell>
          <cell r="D1119" t="str">
            <v>01</v>
          </cell>
          <cell r="E1119" t="str">
            <v>442 99 00</v>
          </cell>
          <cell r="F1119" t="str">
            <v>001</v>
          </cell>
        </row>
        <row r="1120">
          <cell r="A1120" t="str">
            <v>Коммунальные услуги</v>
          </cell>
          <cell r="B1120" t="str">
            <v>905</v>
          </cell>
          <cell r="C1120" t="str">
            <v>08</v>
          </cell>
          <cell r="D1120" t="str">
            <v>01</v>
          </cell>
          <cell r="E1120" t="str">
            <v>442 99 00</v>
          </cell>
          <cell r="F1120" t="str">
            <v>001</v>
          </cell>
        </row>
        <row r="1121">
          <cell r="A1121" t="str">
            <v>Арендная плата за пользование иммуществом </v>
          </cell>
          <cell r="B1121" t="str">
            <v>905</v>
          </cell>
          <cell r="C1121" t="str">
            <v>08</v>
          </cell>
          <cell r="D1121" t="str">
            <v>01</v>
          </cell>
          <cell r="E1121" t="str">
            <v>442 99 00</v>
          </cell>
          <cell r="F1121" t="str">
            <v>001</v>
          </cell>
        </row>
        <row r="1122">
          <cell r="A1122" t="str">
            <v>Услуги по содержанию иммущества</v>
          </cell>
          <cell r="B1122" t="str">
            <v>905</v>
          </cell>
          <cell r="C1122" t="str">
            <v>08</v>
          </cell>
          <cell r="D1122" t="str">
            <v>01</v>
          </cell>
          <cell r="E1122" t="str">
            <v>442 99 00</v>
          </cell>
          <cell r="F1122" t="str">
            <v>001</v>
          </cell>
        </row>
        <row r="1123">
          <cell r="A1123" t="str">
            <v>Услуги по содержанию иммущества 8,40,00</v>
          </cell>
          <cell r="B1123" t="str">
            <v>905</v>
          </cell>
          <cell r="C1123" t="str">
            <v>08</v>
          </cell>
          <cell r="D1123" t="str">
            <v>01</v>
          </cell>
          <cell r="E1123" t="str">
            <v>442 99 00</v>
          </cell>
          <cell r="F1123" t="str">
            <v>001</v>
          </cell>
        </row>
        <row r="1124">
          <cell r="A1124" t="str">
            <v>Услуги по содержанию иммущества 8,40,01</v>
          </cell>
          <cell r="B1124" t="str">
            <v>905</v>
          </cell>
          <cell r="C1124" t="str">
            <v>08</v>
          </cell>
          <cell r="D1124" t="str">
            <v>01</v>
          </cell>
          <cell r="E1124" t="str">
            <v>442 99 00</v>
          </cell>
          <cell r="F1124" t="str">
            <v>001</v>
          </cell>
        </row>
        <row r="1125">
          <cell r="A1125" t="str">
            <v>Прочие услуги</v>
          </cell>
          <cell r="B1125" t="str">
            <v>905</v>
          </cell>
          <cell r="C1125" t="str">
            <v>08</v>
          </cell>
          <cell r="D1125" t="str">
            <v>01</v>
          </cell>
          <cell r="E1125" t="str">
            <v>442 99 00</v>
          </cell>
          <cell r="F1125" t="str">
            <v>001</v>
          </cell>
        </row>
        <row r="1126">
          <cell r="A1126" t="str">
            <v>Прочие расходы </v>
          </cell>
          <cell r="B1126" t="str">
            <v>905</v>
          </cell>
          <cell r="C1126" t="str">
            <v>08</v>
          </cell>
          <cell r="D1126" t="str">
            <v>01</v>
          </cell>
          <cell r="E1126" t="str">
            <v>442 99 00</v>
          </cell>
          <cell r="F1126" t="str">
            <v>001</v>
          </cell>
        </row>
        <row r="1127">
          <cell r="A1127" t="str">
            <v>Поступление нефинансовых активов</v>
          </cell>
          <cell r="B1127" t="str">
            <v>905</v>
          </cell>
          <cell r="C1127" t="str">
            <v>08</v>
          </cell>
          <cell r="D1127" t="str">
            <v>01</v>
          </cell>
          <cell r="E1127" t="str">
            <v>442 99 00</v>
          </cell>
          <cell r="F1127" t="str">
            <v>001</v>
          </cell>
        </row>
        <row r="1128">
          <cell r="A1128" t="str">
            <v>Увеличение стоимости основных средств</v>
          </cell>
          <cell r="B1128" t="str">
            <v>905</v>
          </cell>
          <cell r="C1128" t="str">
            <v>08</v>
          </cell>
          <cell r="D1128" t="str">
            <v>01</v>
          </cell>
          <cell r="E1128" t="str">
            <v>442 99 00</v>
          </cell>
          <cell r="F1128" t="str">
            <v>001</v>
          </cell>
        </row>
        <row r="1129">
          <cell r="A1129" t="str">
            <v>Увеличение стоимости материальных запасов</v>
          </cell>
          <cell r="B1129" t="str">
            <v>905</v>
          </cell>
          <cell r="C1129" t="str">
            <v>08</v>
          </cell>
          <cell r="D1129" t="str">
            <v>01</v>
          </cell>
          <cell r="E1129" t="str">
            <v>442 99 00</v>
          </cell>
          <cell r="F1129" t="str">
            <v>001</v>
          </cell>
        </row>
        <row r="1130">
          <cell r="A1130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130" t="str">
            <v>905</v>
          </cell>
          <cell r="C1130" t="str">
            <v>08</v>
          </cell>
          <cell r="D1130" t="str">
            <v>01</v>
          </cell>
          <cell r="E1130" t="str">
            <v>590 00 00</v>
          </cell>
          <cell r="F1130" t="str">
            <v>000</v>
          </cell>
        </row>
        <row r="1131">
          <cell r="A1131" t="str">
            <v>Субсидии некоммерческим организациям</v>
          </cell>
          <cell r="B1131" t="str">
            <v>905</v>
          </cell>
          <cell r="C1131" t="str">
            <v>08</v>
          </cell>
          <cell r="D1131" t="str">
            <v>01</v>
          </cell>
          <cell r="E1131" t="str">
            <v>590 00 00</v>
          </cell>
          <cell r="F1131" t="str">
            <v>019</v>
          </cell>
        </row>
        <row r="1132">
          <cell r="A1132" t="str">
            <v>Мероприятия в сфере культуры, кинематографии </v>
          </cell>
          <cell r="B1132" t="str">
            <v>905</v>
          </cell>
          <cell r="C1132" t="str">
            <v>08</v>
          </cell>
          <cell r="D1132" t="str">
            <v>01</v>
          </cell>
          <cell r="E1132" t="str">
            <v>440 00 00</v>
          </cell>
          <cell r="F1132" t="str">
            <v>000</v>
          </cell>
        </row>
        <row r="1133">
          <cell r="A1133" t="str">
            <v>Комплектование книжных фондов библиотек
муниципальных образований и государственных библиотек ФБ
городов Москвы и Санкт-Петербурга за счет средств федерального бюджета</v>
          </cell>
          <cell r="B1133" t="str">
            <v>905</v>
          </cell>
          <cell r="C1133" t="str">
            <v>08</v>
          </cell>
          <cell r="D1133" t="str">
            <v>01</v>
          </cell>
          <cell r="E1133" t="str">
            <v>440 02 01</v>
          </cell>
          <cell r="F1133" t="str">
            <v>000</v>
          </cell>
        </row>
        <row r="1134">
          <cell r="A1134" t="str">
            <v>Иные межбюджетные трансферты</v>
          </cell>
          <cell r="B1134" t="str">
            <v>905</v>
          </cell>
          <cell r="C1134" t="str">
            <v>08</v>
          </cell>
          <cell r="D1134" t="str">
            <v>01</v>
          </cell>
          <cell r="E1134" t="str">
            <v>440 02 01</v>
          </cell>
          <cell r="F1134" t="str">
            <v>017</v>
          </cell>
        </row>
        <row r="1135">
          <cell r="A1135" t="str">
            <v>Поступление нефинансовых активов</v>
          </cell>
          <cell r="B1135">
            <v>905</v>
          </cell>
          <cell r="C1135" t="str">
            <v>08</v>
          </cell>
          <cell r="D1135" t="str">
            <v>01</v>
          </cell>
          <cell r="E1135" t="str">
            <v>440 02 01</v>
          </cell>
          <cell r="F1135" t="str">
            <v>001</v>
          </cell>
        </row>
        <row r="1136">
          <cell r="A1136" t="str">
            <v>Увеличение стоимости основных средств</v>
          </cell>
          <cell r="B1136">
            <v>905</v>
          </cell>
          <cell r="C1136" t="str">
            <v>08</v>
          </cell>
          <cell r="D1136" t="str">
            <v>01</v>
          </cell>
          <cell r="E1136" t="str">
            <v>440 02 01</v>
          </cell>
          <cell r="F1136" t="str">
            <v>001</v>
          </cell>
        </row>
        <row r="1137">
          <cell r="A1137" t="str">
            <v>Увеличение стоимости материальных запасов</v>
          </cell>
          <cell r="B1137">
            <v>905</v>
          </cell>
          <cell r="C1137" t="str">
            <v>08</v>
          </cell>
          <cell r="D1137" t="str">
            <v>01</v>
          </cell>
          <cell r="E1137" t="str">
            <v>440 02 01</v>
          </cell>
          <cell r="F1137" t="str">
            <v>001</v>
          </cell>
        </row>
        <row r="1138">
          <cell r="A1138" t="str">
            <v>Государственная поддержка в сфере культуры, кинематографии и средств массовой информации</v>
          </cell>
          <cell r="B1138" t="str">
            <v>905</v>
          </cell>
          <cell r="C1138" t="str">
            <v>08</v>
          </cell>
          <cell r="D1138" t="str">
            <v>01</v>
          </cell>
          <cell r="E1138" t="str">
            <v>440 02 01</v>
          </cell>
          <cell r="F1138" t="str">
            <v>000</v>
          </cell>
        </row>
        <row r="1139">
          <cell r="A1139" t="str">
            <v>Выполнение функций бюджетными учреждениями</v>
          </cell>
          <cell r="B1139" t="str">
            <v>905</v>
          </cell>
          <cell r="C1139" t="str">
            <v>08</v>
          </cell>
          <cell r="D1139" t="str">
            <v>01</v>
          </cell>
          <cell r="E1139" t="str">
            <v>440 02 01</v>
          </cell>
          <cell r="F1139" t="str">
            <v>001</v>
          </cell>
        </row>
        <row r="1140">
          <cell r="A1140" t="str">
            <v>Расходы</v>
          </cell>
          <cell r="B1140" t="str">
            <v>905</v>
          </cell>
          <cell r="C1140" t="str">
            <v>08</v>
          </cell>
          <cell r="D1140" t="str">
            <v>01</v>
          </cell>
          <cell r="E1140" t="str">
            <v>440 02 01</v>
          </cell>
          <cell r="F1140" t="str">
            <v>001</v>
          </cell>
        </row>
        <row r="1141">
          <cell r="A1141" t="str">
            <v>Приобретение услуг</v>
          </cell>
          <cell r="B1141" t="str">
            <v>905</v>
          </cell>
          <cell r="C1141" t="str">
            <v>08</v>
          </cell>
          <cell r="D1141" t="str">
            <v>01</v>
          </cell>
          <cell r="E1141" t="str">
            <v>440 02 01</v>
          </cell>
          <cell r="F1141" t="str">
            <v>001</v>
          </cell>
        </row>
        <row r="1142">
          <cell r="A1142" t="str">
            <v>Услуги по содержанию иммущества</v>
          </cell>
          <cell r="B1142" t="str">
            <v>905</v>
          </cell>
          <cell r="C1142" t="str">
            <v>08</v>
          </cell>
          <cell r="D1142" t="str">
            <v>01</v>
          </cell>
          <cell r="E1142" t="str">
            <v>440 02 01</v>
          </cell>
          <cell r="F1142" t="str">
            <v>001</v>
          </cell>
        </row>
        <row r="1143">
          <cell r="A1143" t="str">
            <v>Прочие услуги </v>
          </cell>
          <cell r="B1143" t="str">
            <v>905</v>
          </cell>
          <cell r="C1143" t="str">
            <v>08</v>
          </cell>
          <cell r="D1143" t="str">
            <v>01</v>
          </cell>
          <cell r="E1143" t="str">
            <v>440 02 01</v>
          </cell>
          <cell r="F1143" t="str">
            <v>001</v>
          </cell>
        </row>
        <row r="1144">
          <cell r="A1144" t="str">
            <v>Поступление нефинансовых активов</v>
          </cell>
          <cell r="B1144" t="str">
            <v>905</v>
          </cell>
          <cell r="C1144" t="str">
            <v>08</v>
          </cell>
          <cell r="D1144" t="str">
            <v>01</v>
          </cell>
          <cell r="E1144" t="str">
            <v>440 02 01</v>
          </cell>
          <cell r="F1144" t="str">
            <v>001</v>
          </cell>
        </row>
        <row r="1145">
          <cell r="A1145" t="str">
            <v>Увеличение стоимости основных средств</v>
          </cell>
          <cell r="B1145" t="str">
            <v>905</v>
          </cell>
          <cell r="C1145" t="str">
            <v>08</v>
          </cell>
          <cell r="D1145" t="str">
            <v>01</v>
          </cell>
          <cell r="E1145" t="str">
            <v>440 02 01</v>
          </cell>
          <cell r="F1145" t="str">
            <v>001</v>
          </cell>
        </row>
        <row r="1146">
          <cell r="A1146" t="str">
            <v>Увеличение стоимости материальных запасов</v>
          </cell>
          <cell r="B1146" t="str">
            <v>905</v>
          </cell>
          <cell r="C1146" t="str">
            <v>08</v>
          </cell>
          <cell r="D1146" t="str">
            <v>01</v>
          </cell>
          <cell r="E1146" t="str">
            <v>440 02 01</v>
          </cell>
          <cell r="F1146" t="str">
            <v>001</v>
          </cell>
        </row>
        <row r="1147">
          <cell r="A1147" t="str">
            <v>Учебно-методические кабинеты, центральные бухгалтерии, группы хоз.обслуживания, учебные фильмотеки</v>
          </cell>
          <cell r="B1147" t="str">
            <v>905</v>
          </cell>
          <cell r="C1147" t="str">
            <v>08</v>
          </cell>
          <cell r="D1147" t="str">
            <v>01</v>
          </cell>
          <cell r="E1147" t="str">
            <v>440 02 01</v>
          </cell>
          <cell r="F1147" t="str">
            <v>000</v>
          </cell>
        </row>
        <row r="1148">
          <cell r="A1148" t="str">
            <v>Обеспечение деятельности подведомственных учреждений</v>
          </cell>
          <cell r="B1148" t="str">
            <v>905</v>
          </cell>
          <cell r="C1148" t="str">
            <v>08</v>
          </cell>
          <cell r="D1148" t="str">
            <v>01</v>
          </cell>
          <cell r="E1148" t="str">
            <v>440 02 01</v>
          </cell>
          <cell r="F1148" t="str">
            <v>327</v>
          </cell>
        </row>
        <row r="1149">
          <cell r="A1149" t="str">
            <v>Оплата труда и начисления на оплату труда</v>
          </cell>
          <cell r="B1149" t="str">
            <v>905</v>
          </cell>
          <cell r="C1149" t="str">
            <v>08</v>
          </cell>
          <cell r="D1149" t="str">
            <v>01</v>
          </cell>
          <cell r="E1149" t="str">
            <v>440 02 01</v>
          </cell>
          <cell r="F1149" t="str">
            <v>327</v>
          </cell>
        </row>
        <row r="1150">
          <cell r="A1150" t="str">
            <v>Заработная плата</v>
          </cell>
          <cell r="B1150" t="str">
            <v>905</v>
          </cell>
          <cell r="C1150" t="str">
            <v>08</v>
          </cell>
          <cell r="D1150" t="str">
            <v>01</v>
          </cell>
          <cell r="E1150" t="str">
            <v>440 02 01</v>
          </cell>
          <cell r="F1150" t="str">
            <v>327</v>
          </cell>
        </row>
        <row r="1151">
          <cell r="A1151" t="str">
            <v>Прочие выплаты</v>
          </cell>
          <cell r="B1151" t="str">
            <v>905</v>
          </cell>
          <cell r="C1151" t="str">
            <v>08</v>
          </cell>
          <cell r="D1151" t="str">
            <v>01</v>
          </cell>
          <cell r="E1151" t="str">
            <v>440 02 01</v>
          </cell>
          <cell r="F1151" t="str">
            <v>327</v>
          </cell>
        </row>
        <row r="1152">
          <cell r="A1152" t="str">
            <v>Начисление на оплату труда</v>
          </cell>
          <cell r="B1152" t="str">
            <v>905</v>
          </cell>
          <cell r="C1152" t="str">
            <v>08</v>
          </cell>
          <cell r="D1152" t="str">
            <v>01</v>
          </cell>
          <cell r="E1152" t="str">
            <v>440 02 01</v>
          </cell>
          <cell r="F1152" t="str">
            <v>327</v>
          </cell>
        </row>
        <row r="1153">
          <cell r="A1153" t="str">
            <v>Приобретение услуг</v>
          </cell>
          <cell r="B1153" t="str">
            <v>905</v>
          </cell>
          <cell r="C1153" t="str">
            <v>08</v>
          </cell>
          <cell r="D1153" t="str">
            <v>01</v>
          </cell>
          <cell r="E1153" t="str">
            <v>440 02 01</v>
          </cell>
          <cell r="F1153" t="str">
            <v>327</v>
          </cell>
        </row>
        <row r="1154">
          <cell r="A1154" t="str">
            <v>Услуги связи </v>
          </cell>
          <cell r="B1154" t="str">
            <v>905</v>
          </cell>
          <cell r="C1154" t="str">
            <v>08</v>
          </cell>
          <cell r="D1154" t="str">
            <v>01</v>
          </cell>
          <cell r="E1154" t="str">
            <v>440 02 01</v>
          </cell>
          <cell r="F1154" t="str">
            <v>327</v>
          </cell>
        </row>
        <row r="1155">
          <cell r="A1155" t="str">
            <v>Транспортные услуги</v>
          </cell>
          <cell r="B1155" t="str">
            <v>905</v>
          </cell>
          <cell r="C1155" t="str">
            <v>08</v>
          </cell>
          <cell r="D1155" t="str">
            <v>01</v>
          </cell>
          <cell r="E1155" t="str">
            <v>440 02 01</v>
          </cell>
          <cell r="F1155" t="str">
            <v>327</v>
          </cell>
        </row>
        <row r="1156">
          <cell r="A1156" t="str">
            <v>Коммунальные услуги</v>
          </cell>
          <cell r="B1156" t="str">
            <v>905</v>
          </cell>
          <cell r="C1156" t="str">
            <v>08</v>
          </cell>
          <cell r="D1156" t="str">
            <v>01</v>
          </cell>
          <cell r="E1156" t="str">
            <v>440 02 01</v>
          </cell>
          <cell r="F1156" t="str">
            <v>327</v>
          </cell>
        </row>
        <row r="1157">
          <cell r="A1157" t="str">
            <v>Арендная плата за пользование иммуществом </v>
          </cell>
          <cell r="B1157" t="str">
            <v>905</v>
          </cell>
          <cell r="C1157" t="str">
            <v>08</v>
          </cell>
          <cell r="D1157" t="str">
            <v>01</v>
          </cell>
          <cell r="E1157" t="str">
            <v>440 02 01</v>
          </cell>
          <cell r="F1157" t="str">
            <v>327</v>
          </cell>
        </row>
        <row r="1158">
          <cell r="A1158" t="str">
            <v>Услуги по содержанию иммущества</v>
          </cell>
          <cell r="B1158" t="str">
            <v>905</v>
          </cell>
          <cell r="C1158" t="str">
            <v>08</v>
          </cell>
          <cell r="D1158" t="str">
            <v>01</v>
          </cell>
          <cell r="E1158" t="str">
            <v>440 02 01</v>
          </cell>
          <cell r="F1158" t="str">
            <v>327</v>
          </cell>
        </row>
        <row r="1159">
          <cell r="A1159" t="str">
            <v>Прочие услуги</v>
          </cell>
          <cell r="B1159" t="str">
            <v>905</v>
          </cell>
          <cell r="C1159" t="str">
            <v>08</v>
          </cell>
          <cell r="D1159" t="str">
            <v>01</v>
          </cell>
          <cell r="E1159" t="str">
            <v>440 02 01</v>
          </cell>
          <cell r="F1159" t="str">
            <v>327</v>
          </cell>
        </row>
        <row r="1160">
          <cell r="A1160" t="str">
            <v>Прочие расходы </v>
          </cell>
          <cell r="B1160" t="str">
            <v>905</v>
          </cell>
          <cell r="C1160" t="str">
            <v>08</v>
          </cell>
          <cell r="D1160" t="str">
            <v>01</v>
          </cell>
          <cell r="E1160" t="str">
            <v>440 02 01</v>
          </cell>
          <cell r="F1160" t="str">
            <v>327</v>
          </cell>
        </row>
        <row r="1161">
          <cell r="A1161" t="str">
            <v>Поступление нефинансовых активов</v>
          </cell>
          <cell r="B1161" t="str">
            <v>905</v>
          </cell>
          <cell r="C1161" t="str">
            <v>08</v>
          </cell>
          <cell r="D1161" t="str">
            <v>01</v>
          </cell>
          <cell r="E1161" t="str">
            <v>440 02 01</v>
          </cell>
          <cell r="F1161" t="str">
            <v>327</v>
          </cell>
        </row>
        <row r="1162">
          <cell r="A1162" t="str">
            <v>Увеличение стоимости основных средств</v>
          </cell>
          <cell r="B1162" t="str">
            <v>905</v>
          </cell>
          <cell r="C1162" t="str">
            <v>08</v>
          </cell>
          <cell r="D1162" t="str">
            <v>01</v>
          </cell>
          <cell r="E1162" t="str">
            <v>440 02 01</v>
          </cell>
          <cell r="F1162" t="str">
            <v>327</v>
          </cell>
        </row>
        <row r="1163">
          <cell r="A1163" t="str">
            <v>Увеличение стоимости материальных запасов</v>
          </cell>
          <cell r="B1163" t="str">
            <v>905</v>
          </cell>
          <cell r="C1163" t="str">
            <v>08</v>
          </cell>
          <cell r="D1163" t="str">
            <v>01</v>
          </cell>
          <cell r="E1163" t="str">
            <v>440 02 01</v>
          </cell>
          <cell r="F1163" t="str">
            <v>327</v>
          </cell>
        </row>
        <row r="1164">
          <cell r="A1164" t="str">
            <v>Региональные целевые программы</v>
          </cell>
          <cell r="B1164" t="str">
            <v>905</v>
          </cell>
          <cell r="C1164" t="str">
            <v>08</v>
          </cell>
          <cell r="D1164" t="str">
            <v>01</v>
          </cell>
          <cell r="E1164" t="str">
            <v>440 02 01</v>
          </cell>
          <cell r="F1164" t="str">
            <v>000</v>
          </cell>
        </row>
        <row r="1165">
          <cell r="A1165" t="str">
            <v>Государственная поддержка в сфере культуры, кинематографии и средств массовой информации </v>
          </cell>
          <cell r="B1165" t="str">
            <v>905</v>
          </cell>
          <cell r="C1165" t="str">
            <v>08</v>
          </cell>
          <cell r="D1165" t="str">
            <v>01</v>
          </cell>
          <cell r="E1165" t="str">
            <v>440 02 01</v>
          </cell>
          <cell r="F1165" t="str">
            <v>453</v>
          </cell>
        </row>
        <row r="1166">
          <cell r="A1166" t="str">
            <v>Прочие расходы </v>
          </cell>
          <cell r="B1166" t="str">
            <v>905</v>
          </cell>
          <cell r="C1166" t="str">
            <v>08</v>
          </cell>
          <cell r="D1166" t="str">
            <v>01</v>
          </cell>
          <cell r="E1166" t="str">
            <v>440 02 01</v>
          </cell>
          <cell r="F1166" t="str">
            <v>453</v>
          </cell>
        </row>
        <row r="1167">
          <cell r="A1167" t="str">
            <v>Телевидение и радиовещание</v>
          </cell>
          <cell r="B1167" t="str">
            <v>905</v>
          </cell>
          <cell r="C1167" t="str">
            <v>08</v>
          </cell>
          <cell r="D1167" t="str">
            <v>03</v>
          </cell>
          <cell r="E1167" t="str">
            <v>440 02 01</v>
          </cell>
          <cell r="F1167" t="str">
            <v>000</v>
          </cell>
        </row>
        <row r="1168">
          <cell r="A1168" t="str">
            <v>Мероприятия в сфере культуры, кинематографиии средств массовой информации </v>
          </cell>
          <cell r="B1168" t="str">
            <v>905</v>
          </cell>
          <cell r="C1168" t="str">
            <v>08</v>
          </cell>
          <cell r="D1168" t="str">
            <v>03</v>
          </cell>
          <cell r="E1168" t="str">
            <v>440 02 01</v>
          </cell>
          <cell r="F1168" t="str">
            <v>000</v>
          </cell>
        </row>
        <row r="1169">
          <cell r="A1169" t="str">
            <v>Государственная поддержка в сфере культуры, кинематографии и средств массовой информации </v>
          </cell>
          <cell r="B1169" t="str">
            <v>905</v>
          </cell>
          <cell r="C1169" t="str">
            <v>08</v>
          </cell>
          <cell r="D1169" t="str">
            <v>03</v>
          </cell>
          <cell r="E1169" t="str">
            <v>440 02 01</v>
          </cell>
          <cell r="F1169" t="str">
            <v>453</v>
          </cell>
        </row>
        <row r="1170">
          <cell r="A1170" t="str">
            <v>Прочие расходы </v>
          </cell>
          <cell r="B1170" t="str">
            <v>905</v>
          </cell>
          <cell r="C1170" t="str">
            <v>08</v>
          </cell>
          <cell r="D1170" t="str">
            <v>03</v>
          </cell>
          <cell r="E1170" t="str">
            <v>440 02 01</v>
          </cell>
          <cell r="F1170" t="str">
            <v>453</v>
          </cell>
        </row>
        <row r="1171">
          <cell r="A1171" t="str">
            <v>Периодическая печать  и издательства </v>
          </cell>
          <cell r="B1171" t="str">
            <v>905</v>
          </cell>
          <cell r="C1171" t="str">
            <v>08</v>
          </cell>
          <cell r="D1171" t="str">
            <v>04</v>
          </cell>
          <cell r="E1171" t="str">
            <v>440 02 01</v>
          </cell>
          <cell r="F1171" t="str">
            <v>000</v>
          </cell>
        </row>
        <row r="1172">
          <cell r="A1172" t="str">
            <v>Периодическая печать  </v>
          </cell>
          <cell r="B1172" t="str">
            <v>905</v>
          </cell>
          <cell r="C1172" t="str">
            <v>08</v>
          </cell>
          <cell r="D1172" t="str">
            <v>04</v>
          </cell>
          <cell r="E1172" t="str">
            <v>440 02 01</v>
          </cell>
          <cell r="F1172" t="str">
            <v>000</v>
          </cell>
        </row>
        <row r="1173">
          <cell r="A1173" t="str">
            <v>Государственная поддержка в сфере культуры, кинематографии и средств массовой информации </v>
          </cell>
          <cell r="B1173" t="str">
            <v>905</v>
          </cell>
          <cell r="C1173" t="str">
            <v>08</v>
          </cell>
          <cell r="D1173" t="str">
            <v>04</v>
          </cell>
          <cell r="E1173" t="str">
            <v>440 02 01</v>
          </cell>
          <cell r="F1173" t="str">
            <v>453</v>
          </cell>
        </row>
        <row r="1174">
          <cell r="A1174" t="str">
            <v>Безвозмездные и безвозвратные перечисления  организациям, за исключением государственных и муниципальных организаций </v>
          </cell>
          <cell r="B1174" t="str">
            <v>905</v>
          </cell>
          <cell r="C1174" t="str">
            <v>08</v>
          </cell>
          <cell r="D1174" t="str">
            <v>04</v>
          </cell>
          <cell r="E1174" t="str">
            <v>440 02 01</v>
          </cell>
          <cell r="F1174" t="str">
            <v>453</v>
          </cell>
        </row>
        <row r="1175">
          <cell r="A1175" t="str">
            <v>Софинансирование социальных программ субъектов Российской Федерации, связанных с предоставлением субсидий бюджетам субъектов Российской Федерации на социальные программы субъектов Российской Федерации, связанные с укреплением материально-технической базы </v>
          </cell>
          <cell r="B1175" t="str">
            <v>905</v>
          </cell>
          <cell r="C1175" t="str">
            <v>08</v>
          </cell>
          <cell r="D1175" t="str">
            <v>01</v>
          </cell>
          <cell r="E1175" t="str">
            <v>440 02 01</v>
          </cell>
          <cell r="F1175" t="str">
            <v>000</v>
          </cell>
        </row>
        <row r="1176">
          <cell r="A1176" t="str">
            <v>Субсидии в целях софинансирования расходных обязательств на создание условий для обеспечения поселений, входящих в состав муниципальных образований, услугами культуры</v>
          </cell>
          <cell r="B1176" t="str">
            <v>905</v>
          </cell>
          <cell r="C1176" t="str">
            <v>08</v>
          </cell>
          <cell r="D1176" t="str">
            <v>01</v>
          </cell>
          <cell r="E1176" t="str">
            <v>440 02 01</v>
          </cell>
          <cell r="F1176" t="str">
            <v>000</v>
          </cell>
        </row>
        <row r="1177">
          <cell r="A1177" t="str">
            <v>Выполнение функций бюджетными учреждениями</v>
          </cell>
          <cell r="B1177" t="str">
            <v>905</v>
          </cell>
          <cell r="C1177" t="str">
            <v>08</v>
          </cell>
          <cell r="D1177" t="str">
            <v>01</v>
          </cell>
          <cell r="E1177" t="str">
            <v>440 02 01</v>
          </cell>
          <cell r="F1177" t="str">
            <v>001</v>
          </cell>
        </row>
        <row r="1178">
          <cell r="A1178" t="str">
            <v>Расходы</v>
          </cell>
          <cell r="B1178" t="str">
            <v>905</v>
          </cell>
          <cell r="C1178" t="str">
            <v>08</v>
          </cell>
          <cell r="D1178" t="str">
            <v>01</v>
          </cell>
          <cell r="E1178" t="str">
            <v>440 02 01</v>
          </cell>
          <cell r="F1178" t="str">
            <v>001</v>
          </cell>
        </row>
        <row r="1179">
          <cell r="A1179" t="str">
            <v>Приобретение услуг</v>
          </cell>
          <cell r="B1179" t="str">
            <v>905</v>
          </cell>
          <cell r="C1179" t="str">
            <v>08</v>
          </cell>
          <cell r="D1179" t="str">
            <v>01</v>
          </cell>
          <cell r="E1179" t="str">
            <v>440 02 01</v>
          </cell>
          <cell r="F1179" t="str">
            <v>001</v>
          </cell>
        </row>
        <row r="1180">
          <cell r="A1180" t="str">
            <v>Транспортные услуги</v>
          </cell>
          <cell r="B1180" t="str">
            <v>905</v>
          </cell>
          <cell r="C1180" t="str">
            <v>08</v>
          </cell>
          <cell r="D1180" t="str">
            <v>01</v>
          </cell>
          <cell r="E1180" t="str">
            <v>440 02 01</v>
          </cell>
          <cell r="F1180" t="str">
            <v>001</v>
          </cell>
        </row>
        <row r="1181">
          <cell r="A1181" t="str">
            <v>Работы, услуги по содержанию имущества</v>
          </cell>
          <cell r="B1181" t="str">
            <v>905</v>
          </cell>
          <cell r="C1181" t="str">
            <v>08</v>
          </cell>
          <cell r="D1181" t="str">
            <v>01</v>
          </cell>
          <cell r="E1181" t="str">
            <v>440 02 01</v>
          </cell>
          <cell r="F1181" t="str">
            <v>001</v>
          </cell>
        </row>
        <row r="1182">
          <cell r="E1182" t="str">
            <v>440 02 01</v>
          </cell>
        </row>
        <row r="1183">
          <cell r="E1183" t="str">
            <v>440 02 01</v>
          </cell>
        </row>
        <row r="1184">
          <cell r="E1184" t="str">
            <v>440 02 01</v>
          </cell>
        </row>
        <row r="1185">
          <cell r="A1185" t="str">
            <v>Поступление нефинансовых активов</v>
          </cell>
          <cell r="B1185" t="str">
            <v>905</v>
          </cell>
          <cell r="C1185" t="str">
            <v>08</v>
          </cell>
          <cell r="D1185" t="str">
            <v>01</v>
          </cell>
          <cell r="E1185" t="str">
            <v>440 02 01</v>
          </cell>
          <cell r="F1185" t="str">
            <v>001</v>
          </cell>
        </row>
        <row r="1186">
          <cell r="A1186" t="str">
            <v>Увеличение стоимости основных средств</v>
          </cell>
          <cell r="B1186" t="str">
            <v>905</v>
          </cell>
          <cell r="C1186" t="str">
            <v>08</v>
          </cell>
          <cell r="D1186" t="str">
            <v>01</v>
          </cell>
          <cell r="E1186" t="str">
            <v>440 02 01</v>
          </cell>
          <cell r="F1186" t="str">
            <v>001</v>
          </cell>
        </row>
        <row r="1187">
          <cell r="A1187" t="str">
            <v>Увеличение стоимости материальных запасов</v>
          </cell>
          <cell r="B1187" t="str">
            <v>905</v>
          </cell>
          <cell r="C1187" t="str">
            <v>08</v>
          </cell>
          <cell r="D1187" t="str">
            <v>01</v>
          </cell>
          <cell r="E1187" t="str">
            <v>440 02 01</v>
          </cell>
          <cell r="F1187" t="str">
            <v>001</v>
          </cell>
        </row>
        <row r="1188">
          <cell r="A1188" t="str">
            <v>Целевые программы муниципальных образований "Обеспечение пожарной безопасности"</v>
          </cell>
          <cell r="B1188" t="str">
            <v>905</v>
          </cell>
          <cell r="C1188" t="str">
            <v>08</v>
          </cell>
          <cell r="D1188" t="str">
            <v>01</v>
          </cell>
          <cell r="E1188" t="str">
            <v>440 02 01</v>
          </cell>
          <cell r="F1188" t="str">
            <v>000</v>
          </cell>
        </row>
        <row r="1189">
          <cell r="A1189" t="str">
            <v>Выполнение функций органами местного самоуправления</v>
          </cell>
          <cell r="B1189" t="str">
            <v>905</v>
          </cell>
          <cell r="C1189" t="str">
            <v>08</v>
          </cell>
          <cell r="D1189" t="str">
            <v>01</v>
          </cell>
          <cell r="E1189" t="str">
            <v>440 02 01</v>
          </cell>
          <cell r="F1189" t="str">
            <v>500</v>
          </cell>
        </row>
        <row r="1190">
          <cell r="A1190" t="str">
            <v>Расходы</v>
          </cell>
          <cell r="B1190" t="str">
            <v>905</v>
          </cell>
          <cell r="C1190" t="str">
            <v>08</v>
          </cell>
          <cell r="D1190" t="str">
            <v>01</v>
          </cell>
          <cell r="E1190" t="str">
            <v>440 02 01</v>
          </cell>
          <cell r="F1190" t="str">
            <v>500</v>
          </cell>
        </row>
        <row r="1191">
          <cell r="A1191" t="str">
            <v>Приобретение услуг</v>
          </cell>
          <cell r="B1191" t="str">
            <v>905</v>
          </cell>
          <cell r="C1191" t="str">
            <v>08</v>
          </cell>
          <cell r="D1191" t="str">
            <v>01</v>
          </cell>
          <cell r="E1191" t="str">
            <v>440 02 01</v>
          </cell>
          <cell r="F1191" t="str">
            <v>500</v>
          </cell>
        </row>
        <row r="1192">
          <cell r="A1192" t="str">
            <v>Прочие услуги </v>
          </cell>
          <cell r="B1192" t="str">
            <v>905</v>
          </cell>
          <cell r="C1192" t="str">
            <v>08</v>
          </cell>
          <cell r="D1192" t="str">
            <v>01</v>
          </cell>
          <cell r="E1192" t="str">
            <v>440 02 01</v>
          </cell>
          <cell r="F1192" t="str">
            <v>500</v>
          </cell>
        </row>
        <row r="1193">
          <cell r="A1193" t="str">
            <v>Поступление нефинансовых активов</v>
          </cell>
          <cell r="B1193" t="str">
            <v>905</v>
          </cell>
          <cell r="C1193" t="str">
            <v>08</v>
          </cell>
          <cell r="D1193" t="str">
            <v>01</v>
          </cell>
          <cell r="E1193" t="str">
            <v>440 02 01</v>
          </cell>
          <cell r="F1193" t="str">
            <v>500</v>
          </cell>
        </row>
        <row r="1194">
          <cell r="A1194" t="str">
            <v>Увеличение стоимости основных средств</v>
          </cell>
          <cell r="B1194" t="str">
            <v>905</v>
          </cell>
          <cell r="C1194" t="str">
            <v>08</v>
          </cell>
          <cell r="D1194" t="str">
            <v>01</v>
          </cell>
          <cell r="E1194" t="str">
            <v>440 02 01</v>
          </cell>
          <cell r="F1194" t="str">
            <v>500</v>
          </cell>
        </row>
        <row r="1195">
          <cell r="A1195" t="str">
            <v>Комплектование книжных фондов библиотек
муниципальных образований и государственных библиотек ОБ
городов Москвы и Санкт-Петербурга за счет областного бюджета</v>
          </cell>
          <cell r="B1195">
            <v>905</v>
          </cell>
          <cell r="C1195" t="str">
            <v>08</v>
          </cell>
          <cell r="D1195" t="str">
            <v>01</v>
          </cell>
          <cell r="E1195" t="str">
            <v>440 02 02</v>
          </cell>
          <cell r="F1195" t="str">
            <v>000</v>
          </cell>
        </row>
        <row r="1196">
          <cell r="A1196" t="str">
            <v>Иные межбюджетные трансферты</v>
          </cell>
          <cell r="B1196">
            <v>905</v>
          </cell>
          <cell r="C1196" t="str">
            <v>08</v>
          </cell>
          <cell r="D1196" t="str">
            <v>01</v>
          </cell>
          <cell r="E1196" t="str">
            <v>440 02 02</v>
          </cell>
          <cell r="F1196" t="str">
            <v>017</v>
          </cell>
        </row>
        <row r="1197">
          <cell r="A1197" t="str">
            <v>Увеличение стоимости основных средств</v>
          </cell>
          <cell r="B1197">
            <v>905</v>
          </cell>
          <cell r="C1197" t="str">
            <v>08</v>
          </cell>
          <cell r="D1197" t="str">
            <v>01</v>
          </cell>
          <cell r="E1197" t="str">
            <v>440 02 02</v>
          </cell>
          <cell r="F1197" t="str">
            <v>001</v>
          </cell>
        </row>
        <row r="1198">
          <cell r="A1198" t="str">
            <v>Комплектование книжных фондов библиотек
муниципальных образований и государственных библиотек МБ
городов Москвы и Санкт-Петербурга за счет областного бюджета</v>
          </cell>
          <cell r="B1198">
            <v>905</v>
          </cell>
          <cell r="C1198" t="str">
            <v>08</v>
          </cell>
          <cell r="D1198" t="str">
            <v>01</v>
          </cell>
          <cell r="E1198" t="str">
            <v>440 02 03</v>
          </cell>
          <cell r="F1198" t="str">
            <v>000</v>
          </cell>
        </row>
        <row r="1199">
          <cell r="A1199" t="str">
            <v>Иные межбюджетные трансферты</v>
          </cell>
          <cell r="B1199">
            <v>905</v>
          </cell>
          <cell r="C1199" t="str">
            <v>08</v>
          </cell>
          <cell r="D1199" t="str">
            <v>01</v>
          </cell>
          <cell r="E1199" t="str">
            <v>440 02 03</v>
          </cell>
          <cell r="F1199" t="str">
            <v>017</v>
          </cell>
        </row>
        <row r="1200">
          <cell r="A1200" t="str">
            <v>Увеличение стоимости основных средств</v>
          </cell>
          <cell r="B1200">
            <v>905</v>
          </cell>
          <cell r="C1200" t="str">
            <v>08</v>
          </cell>
          <cell r="D1200" t="str">
            <v>01</v>
          </cell>
          <cell r="E1200" t="str">
            <v>440 02 03</v>
          </cell>
          <cell r="F1200" t="str">
            <v>001</v>
          </cell>
        </row>
        <row r="1201">
          <cell r="A1201" t="str">
            <v>Долгосрочная целевая программа Иркутской области "50 модельных домов культуры Приангарью" на 2011-2013 годы</v>
          </cell>
          <cell r="B1201">
            <v>905</v>
          </cell>
          <cell r="C1201" t="str">
            <v>08</v>
          </cell>
          <cell r="D1201" t="str">
            <v>01</v>
          </cell>
          <cell r="E1201" t="str">
            <v>522 55 00</v>
          </cell>
          <cell r="F1201" t="str">
            <v>000</v>
          </cell>
        </row>
        <row r="1202">
          <cell r="A1202" t="str">
            <v>Фонд софинансирования</v>
          </cell>
          <cell r="B1202">
            <v>905</v>
          </cell>
          <cell r="C1202" t="str">
            <v>08</v>
          </cell>
          <cell r="D1202" t="str">
            <v>01</v>
          </cell>
          <cell r="E1202" t="str">
            <v>522 55 00</v>
          </cell>
          <cell r="F1202" t="str">
            <v>010</v>
          </cell>
        </row>
        <row r="1203">
          <cell r="A1203" t="str">
            <v>Расходы</v>
          </cell>
          <cell r="B1203">
            <v>905</v>
          </cell>
          <cell r="C1203" t="str">
            <v>08</v>
          </cell>
          <cell r="D1203" t="str">
            <v>01</v>
          </cell>
          <cell r="E1203" t="str">
            <v>522 55 00</v>
          </cell>
          <cell r="F1203" t="str">
            <v>010</v>
          </cell>
        </row>
        <row r="1204">
          <cell r="A1204" t="str">
            <v>Приобретение услуг</v>
          </cell>
          <cell r="B1204">
            <v>905</v>
          </cell>
          <cell r="C1204" t="str">
            <v>08</v>
          </cell>
          <cell r="D1204" t="str">
            <v>01</v>
          </cell>
          <cell r="E1204" t="str">
            <v>522 55 00</v>
          </cell>
          <cell r="F1204" t="str">
            <v>010</v>
          </cell>
        </row>
        <row r="1205">
          <cell r="A1205" t="str">
            <v>Услуги по содержанию иммущества</v>
          </cell>
          <cell r="B1205">
            <v>905</v>
          </cell>
          <cell r="C1205" t="str">
            <v>08</v>
          </cell>
          <cell r="D1205" t="str">
            <v>01</v>
          </cell>
          <cell r="E1205" t="str">
            <v>522 55 00</v>
          </cell>
          <cell r="F1205" t="str">
            <v>010</v>
          </cell>
        </row>
        <row r="1207">
          <cell r="B1207">
            <v>905</v>
          </cell>
          <cell r="C1207" t="str">
            <v>08</v>
          </cell>
          <cell r="D1207" t="str">
            <v>01</v>
          </cell>
          <cell r="E1207" t="str">
            <v>522 55 00</v>
          </cell>
          <cell r="F1207" t="str">
            <v>010</v>
          </cell>
        </row>
        <row r="1208">
          <cell r="B1208">
            <v>905</v>
          </cell>
          <cell r="C1208" t="str">
            <v>08</v>
          </cell>
          <cell r="D1208" t="str">
            <v>01</v>
          </cell>
          <cell r="E1208" t="str">
            <v>522 55 00</v>
          </cell>
          <cell r="F1208" t="str">
            <v>010</v>
          </cell>
        </row>
        <row r="1209">
          <cell r="A1209" t="str">
            <v>Целевые программы муниципальных образований </v>
          </cell>
          <cell r="B1209" t="str">
            <v>905</v>
          </cell>
          <cell r="C1209" t="str">
            <v>08</v>
          </cell>
          <cell r="D1209" t="str">
            <v>01</v>
          </cell>
          <cell r="E1209" t="str">
            <v>795 00 00</v>
          </cell>
          <cell r="F1209" t="str">
            <v>000</v>
          </cell>
        </row>
        <row r="1210">
          <cell r="A1210" t="str">
            <v>Обеспечение пожарной безопасности  в учреждениях культуры  Усольского района на 2011-2013 гг</v>
          </cell>
          <cell r="B1210" t="str">
            <v>905</v>
          </cell>
          <cell r="C1210" t="str">
            <v>08</v>
          </cell>
          <cell r="D1210" t="str">
            <v>01</v>
          </cell>
          <cell r="E1210" t="str">
            <v>795 18 00</v>
          </cell>
          <cell r="F1210" t="str">
            <v>000</v>
          </cell>
        </row>
        <row r="1211">
          <cell r="A1211" t="str">
            <v>Выполнение функций органами местного самоуправления</v>
          </cell>
          <cell r="B1211" t="str">
            <v>905</v>
          </cell>
          <cell r="C1211" t="str">
            <v>08</v>
          </cell>
          <cell r="D1211" t="str">
            <v>01</v>
          </cell>
          <cell r="E1211" t="str">
            <v>795 18 00</v>
          </cell>
          <cell r="F1211" t="str">
            <v>500</v>
          </cell>
        </row>
        <row r="1212">
          <cell r="A1212" t="str">
            <v>Приобретение услуг</v>
          </cell>
          <cell r="B1212" t="str">
            <v>905</v>
          </cell>
          <cell r="C1212" t="str">
            <v>08</v>
          </cell>
          <cell r="D1212" t="str">
            <v>01</v>
          </cell>
          <cell r="E1212" t="str">
            <v>795 00 00</v>
          </cell>
          <cell r="F1212" t="str">
            <v>500</v>
          </cell>
        </row>
        <row r="1213">
          <cell r="A1213" t="str">
            <v>Услуги связи </v>
          </cell>
          <cell r="B1213" t="str">
            <v>905</v>
          </cell>
          <cell r="C1213" t="str">
            <v>08</v>
          </cell>
          <cell r="D1213" t="str">
            <v>01</v>
          </cell>
          <cell r="E1213" t="str">
            <v>795 18 00</v>
          </cell>
          <cell r="F1213" t="str">
            <v>500</v>
          </cell>
        </row>
        <row r="1214">
          <cell r="A1214" t="str">
            <v>Услуги по содержанию иммущества</v>
          </cell>
          <cell r="B1214" t="str">
            <v>905</v>
          </cell>
          <cell r="C1214" t="str">
            <v>08</v>
          </cell>
          <cell r="D1214" t="str">
            <v>01</v>
          </cell>
          <cell r="E1214" t="str">
            <v>795 18 00</v>
          </cell>
          <cell r="F1214" t="str">
            <v>500</v>
          </cell>
        </row>
        <row r="1215">
          <cell r="A1215" t="str">
            <v>Прочие услуги</v>
          </cell>
          <cell r="B1215" t="str">
            <v>905</v>
          </cell>
          <cell r="C1215" t="str">
            <v>08</v>
          </cell>
          <cell r="D1215" t="str">
            <v>01</v>
          </cell>
          <cell r="E1215" t="str">
            <v>795 18 00</v>
          </cell>
          <cell r="F1215" t="str">
            <v>500</v>
          </cell>
        </row>
        <row r="1216">
          <cell r="A1216" t="str">
            <v>Поступление нефинансовых активов</v>
          </cell>
          <cell r="B1216" t="str">
            <v>905</v>
          </cell>
          <cell r="C1216" t="str">
            <v>08</v>
          </cell>
          <cell r="D1216" t="str">
            <v>01</v>
          </cell>
          <cell r="E1216" t="str">
            <v>795 17 00</v>
          </cell>
          <cell r="F1216" t="str">
            <v>500</v>
          </cell>
        </row>
        <row r="1217">
          <cell r="A1217" t="str">
            <v>Увеличение стоимости материальных запасов</v>
          </cell>
          <cell r="B1217" t="str">
            <v>905</v>
          </cell>
          <cell r="C1217" t="str">
            <v>08</v>
          </cell>
          <cell r="D1217" t="str">
            <v>01</v>
          </cell>
          <cell r="E1217" t="str">
            <v>795 17 00</v>
          </cell>
          <cell r="F1217" t="str">
            <v>500</v>
          </cell>
        </row>
        <row r="1218">
          <cell r="A1218" t="str">
            <v>Улучшение условий и охраны труда, обеспечение санитарно-гигиенического режима в учреждениях культуры Усольского района на 2012-2014годы</v>
          </cell>
          <cell r="B1218" t="str">
            <v>905</v>
          </cell>
          <cell r="C1218" t="str">
            <v>08</v>
          </cell>
          <cell r="D1218" t="str">
            <v>01</v>
          </cell>
          <cell r="E1218" t="str">
            <v>795 35 00</v>
          </cell>
          <cell r="F1218" t="str">
            <v>000</v>
          </cell>
        </row>
        <row r="1219">
          <cell r="A1219" t="str">
            <v>Выполнение функций органами местного самоуправления</v>
          </cell>
          <cell r="B1219" t="str">
            <v>905</v>
          </cell>
          <cell r="C1219" t="str">
            <v>08</v>
          </cell>
          <cell r="D1219" t="str">
            <v>01</v>
          </cell>
          <cell r="E1219" t="str">
            <v>795 35 00</v>
          </cell>
          <cell r="F1219" t="str">
            <v>500</v>
          </cell>
        </row>
        <row r="1220">
          <cell r="A1220" t="str">
            <v>Другие вопросы в области культуры, кинематографии </v>
          </cell>
          <cell r="B1220" t="str">
            <v>905</v>
          </cell>
          <cell r="C1220" t="str">
            <v>08</v>
          </cell>
          <cell r="D1220" t="str">
            <v>04</v>
          </cell>
          <cell r="E1220" t="str">
            <v>000 00 00</v>
          </cell>
          <cell r="F1220" t="str">
            <v>000</v>
          </cell>
        </row>
        <row r="1221">
          <cell r="A1221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1221" t="str">
            <v>905</v>
          </cell>
          <cell r="C1221" t="str">
            <v>08</v>
          </cell>
          <cell r="D1221" t="str">
            <v>04</v>
          </cell>
          <cell r="E1221" t="str">
            <v>002 00 00</v>
          </cell>
          <cell r="F1221" t="str">
            <v>000</v>
          </cell>
        </row>
        <row r="1222">
          <cell r="A1222" t="str">
            <v>Центральный аппарат</v>
          </cell>
          <cell r="B1222" t="str">
            <v>905</v>
          </cell>
          <cell r="C1222" t="str">
            <v>08</v>
          </cell>
          <cell r="D1222" t="str">
            <v>04</v>
          </cell>
          <cell r="E1222" t="str">
            <v>002 04 00</v>
          </cell>
          <cell r="F1222" t="str">
            <v>000</v>
          </cell>
        </row>
        <row r="1223">
          <cell r="A1223" t="str">
            <v>Выполнение функций органами местного самоуправления</v>
          </cell>
          <cell r="B1223" t="str">
            <v>905</v>
          </cell>
          <cell r="C1223" t="str">
            <v>08</v>
          </cell>
          <cell r="D1223" t="str">
            <v>04</v>
          </cell>
          <cell r="E1223" t="str">
            <v>002 04 00</v>
          </cell>
          <cell r="F1223" t="str">
            <v>500</v>
          </cell>
        </row>
        <row r="1224">
          <cell r="A1224" t="str">
            <v>Расходы</v>
          </cell>
          <cell r="B1224" t="str">
            <v>905</v>
          </cell>
          <cell r="C1224" t="str">
            <v>08</v>
          </cell>
          <cell r="D1224" t="str">
            <v>04</v>
          </cell>
          <cell r="E1224" t="str">
            <v>002 04 00</v>
          </cell>
          <cell r="F1224" t="str">
            <v>500</v>
          </cell>
        </row>
        <row r="1225">
          <cell r="A1225" t="str">
            <v>Оплата труда и начисления на оплату труда</v>
          </cell>
          <cell r="B1225" t="str">
            <v>905</v>
          </cell>
          <cell r="C1225" t="str">
            <v>08</v>
          </cell>
          <cell r="D1225" t="str">
            <v>04</v>
          </cell>
          <cell r="E1225" t="str">
            <v>002 04 00</v>
          </cell>
          <cell r="F1225" t="str">
            <v>500</v>
          </cell>
        </row>
        <row r="1226">
          <cell r="A1226" t="str">
            <v>Заработная плата</v>
          </cell>
          <cell r="B1226" t="str">
            <v>905</v>
          </cell>
          <cell r="C1226" t="str">
            <v>08</v>
          </cell>
          <cell r="D1226" t="str">
            <v>04</v>
          </cell>
          <cell r="E1226" t="str">
            <v>002 04 00</v>
          </cell>
          <cell r="F1226" t="str">
            <v>500</v>
          </cell>
        </row>
        <row r="1227">
          <cell r="A1227" t="str">
            <v>Прочие выплаты</v>
          </cell>
          <cell r="B1227" t="str">
            <v>905</v>
          </cell>
          <cell r="C1227" t="str">
            <v>08</v>
          </cell>
          <cell r="D1227" t="str">
            <v>04</v>
          </cell>
          <cell r="E1227" t="str">
            <v>002 04 00</v>
          </cell>
          <cell r="F1227" t="str">
            <v>500</v>
          </cell>
        </row>
        <row r="1228">
          <cell r="A1228" t="str">
            <v>Начисление на оплату труда</v>
          </cell>
          <cell r="B1228" t="str">
            <v>905</v>
          </cell>
          <cell r="C1228" t="str">
            <v>08</v>
          </cell>
          <cell r="D1228" t="str">
            <v>04</v>
          </cell>
          <cell r="E1228" t="str">
            <v>002 04 00</v>
          </cell>
          <cell r="F1228" t="str">
            <v>500</v>
          </cell>
        </row>
        <row r="1229">
          <cell r="A1229" t="str">
            <v>Приобретение услуг</v>
          </cell>
          <cell r="B1229" t="str">
            <v>905</v>
          </cell>
          <cell r="C1229" t="str">
            <v>08</v>
          </cell>
          <cell r="D1229" t="str">
            <v>04</v>
          </cell>
          <cell r="E1229" t="str">
            <v>002 04 00</v>
          </cell>
          <cell r="F1229" t="str">
            <v>500</v>
          </cell>
        </row>
        <row r="1230">
          <cell r="A1230" t="str">
            <v>Услуги связи </v>
          </cell>
          <cell r="B1230" t="str">
            <v>905</v>
          </cell>
          <cell r="C1230" t="str">
            <v>08</v>
          </cell>
          <cell r="D1230" t="str">
            <v>04</v>
          </cell>
          <cell r="E1230" t="str">
            <v>002 04 00</v>
          </cell>
          <cell r="F1230" t="str">
            <v>500</v>
          </cell>
        </row>
        <row r="1231">
          <cell r="A1231" t="str">
            <v>Транспортные услуги</v>
          </cell>
          <cell r="B1231" t="str">
            <v>905</v>
          </cell>
          <cell r="C1231" t="str">
            <v>08</v>
          </cell>
          <cell r="D1231" t="str">
            <v>04</v>
          </cell>
          <cell r="E1231" t="str">
            <v>002 04 00</v>
          </cell>
          <cell r="F1231" t="str">
            <v>500</v>
          </cell>
        </row>
        <row r="1232">
          <cell r="A1232" t="str">
            <v>Коммунальные услуги</v>
          </cell>
          <cell r="B1232" t="str">
            <v>905</v>
          </cell>
          <cell r="C1232" t="str">
            <v>08</v>
          </cell>
          <cell r="D1232" t="str">
            <v>04</v>
          </cell>
          <cell r="E1232" t="str">
            <v>002 04 00</v>
          </cell>
          <cell r="F1232" t="str">
            <v>500</v>
          </cell>
        </row>
        <row r="1233">
          <cell r="A1233" t="str">
            <v>Арендная плата за пользование иммуществом </v>
          </cell>
          <cell r="B1233" t="str">
            <v>905</v>
          </cell>
          <cell r="C1233" t="str">
            <v>08</v>
          </cell>
          <cell r="D1233" t="str">
            <v>04</v>
          </cell>
          <cell r="E1233" t="str">
            <v>002 04 00</v>
          </cell>
          <cell r="F1233" t="str">
            <v>500</v>
          </cell>
        </row>
        <row r="1234">
          <cell r="A1234" t="str">
            <v>Услуги по содержанию иммущества</v>
          </cell>
          <cell r="B1234" t="str">
            <v>905</v>
          </cell>
          <cell r="C1234" t="str">
            <v>08</v>
          </cell>
          <cell r="D1234" t="str">
            <v>04</v>
          </cell>
          <cell r="E1234" t="str">
            <v>002 04 00</v>
          </cell>
          <cell r="F1234" t="str">
            <v>500</v>
          </cell>
        </row>
        <row r="1235">
          <cell r="A1235" t="str">
            <v>Прочие услуги</v>
          </cell>
          <cell r="B1235" t="str">
            <v>905</v>
          </cell>
          <cell r="C1235" t="str">
            <v>08</v>
          </cell>
          <cell r="D1235" t="str">
            <v>04</v>
          </cell>
          <cell r="E1235" t="str">
            <v>002 04 00</v>
          </cell>
          <cell r="F1235" t="str">
            <v>500</v>
          </cell>
        </row>
        <row r="1236">
          <cell r="A1236" t="str">
            <v>Прочие расходы </v>
          </cell>
          <cell r="B1236" t="str">
            <v>905</v>
          </cell>
          <cell r="C1236" t="str">
            <v>08</v>
          </cell>
          <cell r="D1236" t="str">
            <v>04</v>
          </cell>
          <cell r="E1236" t="str">
            <v>002 04 00</v>
          </cell>
          <cell r="F1236" t="str">
            <v>500</v>
          </cell>
        </row>
        <row r="1237">
          <cell r="A1237" t="str">
            <v>Прочие расходы</v>
          </cell>
          <cell r="B1237" t="str">
            <v>905</v>
          </cell>
          <cell r="C1237" t="str">
            <v>08</v>
          </cell>
          <cell r="D1237" t="str">
            <v>04</v>
          </cell>
          <cell r="E1237" t="str">
            <v>002 04 00</v>
          </cell>
          <cell r="F1237" t="str">
            <v>500</v>
          </cell>
        </row>
        <row r="1238">
          <cell r="A1238" t="str">
            <v>Поступление нефинансовых активов</v>
          </cell>
          <cell r="B1238" t="str">
            <v>905</v>
          </cell>
          <cell r="C1238" t="str">
            <v>08</v>
          </cell>
          <cell r="D1238" t="str">
            <v>04</v>
          </cell>
          <cell r="E1238" t="str">
            <v>002 04 00</v>
          </cell>
          <cell r="F1238" t="str">
            <v>500</v>
          </cell>
        </row>
        <row r="1239">
          <cell r="A1239" t="str">
            <v>Увеличение стоимости основных средств</v>
          </cell>
          <cell r="B1239" t="str">
            <v>905</v>
          </cell>
          <cell r="C1239" t="str">
            <v>08</v>
          </cell>
          <cell r="D1239" t="str">
            <v>04</v>
          </cell>
          <cell r="E1239" t="str">
            <v>002 04 00</v>
          </cell>
          <cell r="F1239" t="str">
            <v>500</v>
          </cell>
        </row>
        <row r="1240">
          <cell r="A1240" t="str">
            <v>Увеличение стоимости материальных запасов</v>
          </cell>
          <cell r="B1240" t="str">
            <v>905</v>
          </cell>
          <cell r="C1240" t="str">
            <v>08</v>
          </cell>
          <cell r="D1240" t="str">
            <v>04</v>
          </cell>
          <cell r="E1240" t="str">
            <v>002 04 00</v>
          </cell>
          <cell r="F1240" t="str">
            <v>500</v>
          </cell>
        </row>
        <row r="1241">
          <cell r="A1241" t="str">
            <v>Мероприятия в сфере культуры, кинематографиии средств массовой информации </v>
          </cell>
          <cell r="B1241" t="str">
            <v>902</v>
          </cell>
          <cell r="C1241" t="str">
            <v>08</v>
          </cell>
          <cell r="D1241" t="str">
            <v>04</v>
          </cell>
          <cell r="E1241" t="str">
            <v>450 85 00</v>
          </cell>
          <cell r="F1241" t="str">
            <v>000</v>
          </cell>
        </row>
        <row r="1242">
          <cell r="A1242" t="str">
            <v>Государственная поддержка в сфере культуры, кинематографии и средств массовой информации </v>
          </cell>
          <cell r="B1242" t="str">
            <v>902</v>
          </cell>
          <cell r="C1242" t="str">
            <v>08</v>
          </cell>
          <cell r="D1242" t="str">
            <v>04</v>
          </cell>
          <cell r="E1242" t="str">
            <v>450 85 00</v>
          </cell>
          <cell r="F1242" t="str">
            <v>012</v>
          </cell>
        </row>
        <row r="1243">
          <cell r="A1243" t="str">
            <v>Прочие расходы </v>
          </cell>
          <cell r="B1243" t="str">
            <v>902</v>
          </cell>
          <cell r="C1243" t="str">
            <v>08</v>
          </cell>
          <cell r="D1243" t="str">
            <v>04</v>
          </cell>
          <cell r="E1243" t="str">
            <v>450 85 00</v>
          </cell>
          <cell r="F1243" t="str">
            <v>012</v>
          </cell>
        </row>
        <row r="1244">
          <cell r="A1244" t="str">
            <v>Увеличение стоиммости материальных запасов</v>
          </cell>
          <cell r="B1244" t="str">
            <v>905</v>
          </cell>
          <cell r="C1244" t="str">
            <v>08</v>
          </cell>
          <cell r="D1244" t="str">
            <v>04</v>
          </cell>
          <cell r="E1244" t="str">
            <v>002 04 00</v>
          </cell>
          <cell r="F1244" t="str">
            <v>500</v>
          </cell>
        </row>
        <row r="1245">
          <cell r="A1245" t="str">
            <v>Межбюджетные трансферты на погашение кредиторской задолженности муниципальных учреждений по страховым взносам в Пенсионный фонд Российской Федерации на обязательное пенсионное страхование, сложившейся за период с 1 января 2001 года до 1 января 2010 года</v>
          </cell>
          <cell r="B1245" t="str">
            <v>905</v>
          </cell>
          <cell r="C1245" t="str">
            <v>08</v>
          </cell>
          <cell r="D1245" t="str">
            <v>04</v>
          </cell>
          <cell r="E1245" t="str">
            <v>603 00 00</v>
          </cell>
          <cell r="F1245" t="str">
            <v>001</v>
          </cell>
        </row>
        <row r="1246">
          <cell r="B1246" t="str">
            <v>905</v>
          </cell>
          <cell r="C1246" t="str">
            <v>08</v>
          </cell>
          <cell r="D1246" t="str">
            <v>04</v>
          </cell>
          <cell r="E1246" t="str">
            <v>603 00 00</v>
          </cell>
          <cell r="F1246" t="str">
            <v>001</v>
          </cell>
        </row>
        <row r="1247">
          <cell r="B1247" t="str">
            <v>905</v>
          </cell>
          <cell r="C1247" t="str">
            <v>08</v>
          </cell>
          <cell r="D1247" t="str">
            <v>04</v>
          </cell>
          <cell r="E1247" t="str">
            <v>603 00 00</v>
          </cell>
          <cell r="F1247" t="str">
            <v>001</v>
          </cell>
        </row>
        <row r="1248">
          <cell r="A1248" t="str">
            <v>Выполнение функций органами местного самоуправления</v>
          </cell>
          <cell r="B1248" t="str">
            <v>905</v>
          </cell>
          <cell r="C1248" t="str">
            <v>08</v>
          </cell>
          <cell r="D1248" t="str">
            <v>04</v>
          </cell>
          <cell r="E1248" t="str">
            <v>603 00 00</v>
          </cell>
          <cell r="F1248" t="str">
            <v>001</v>
          </cell>
        </row>
        <row r="1249">
          <cell r="A1249" t="str">
            <v>Расходы</v>
          </cell>
          <cell r="B1249" t="str">
            <v>905</v>
          </cell>
          <cell r="C1249" t="str">
            <v>08</v>
          </cell>
          <cell r="D1249" t="str">
            <v>04</v>
          </cell>
          <cell r="E1249" t="str">
            <v>603 00 00</v>
          </cell>
          <cell r="F1249" t="str">
            <v>001</v>
          </cell>
        </row>
        <row r="1250">
          <cell r="A1250" t="str">
            <v>Оплата труда и начисления на оплату труда</v>
          </cell>
          <cell r="B1250" t="str">
            <v>905</v>
          </cell>
          <cell r="C1250" t="str">
            <v>08</v>
          </cell>
          <cell r="D1250" t="str">
            <v>04</v>
          </cell>
          <cell r="E1250" t="str">
            <v>603 00 00</v>
          </cell>
          <cell r="F1250" t="str">
            <v>001</v>
          </cell>
        </row>
        <row r="1251">
          <cell r="A1251" t="str">
            <v>Начисление на оплату труда</v>
          </cell>
          <cell r="B1251" t="str">
            <v>905</v>
          </cell>
          <cell r="C1251" t="str">
            <v>08</v>
          </cell>
          <cell r="D1251" t="str">
            <v>04</v>
          </cell>
          <cell r="E1251" t="str">
            <v>603 00 00</v>
          </cell>
          <cell r="F1251" t="str">
            <v>001</v>
          </cell>
        </row>
        <row r="1252">
          <cell r="A1252" t="str">
    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    </cell>
          <cell r="B1252" t="str">
            <v>905</v>
          </cell>
          <cell r="C1252" t="str">
            <v>08</v>
          </cell>
          <cell r="D1252" t="str">
            <v>04</v>
          </cell>
          <cell r="E1252" t="str">
            <v>452 00 00</v>
          </cell>
          <cell r="F1252" t="str">
            <v>000</v>
          </cell>
        </row>
        <row r="1253">
          <cell r="A1253" t="str">
            <v>Обеспечение деятельности подведомственных учреждений</v>
          </cell>
          <cell r="B1253" t="str">
            <v>905</v>
          </cell>
          <cell r="C1253" t="str">
            <v>08</v>
          </cell>
          <cell r="D1253" t="str">
            <v>04</v>
          </cell>
          <cell r="E1253" t="str">
            <v>452 99 00</v>
          </cell>
          <cell r="F1253" t="str">
            <v>000</v>
          </cell>
        </row>
        <row r="1254">
          <cell r="A1254" t="str">
            <v>Выполнение функций бюджетными учреждениями</v>
          </cell>
          <cell r="B1254" t="str">
            <v>905</v>
          </cell>
          <cell r="C1254" t="str">
            <v>08</v>
          </cell>
          <cell r="D1254" t="str">
            <v>04</v>
          </cell>
          <cell r="E1254" t="str">
            <v>452 99 00</v>
          </cell>
          <cell r="F1254" t="str">
            <v>001</v>
          </cell>
        </row>
        <row r="1255">
          <cell r="A1255" t="str">
            <v>Расходы</v>
          </cell>
          <cell r="B1255" t="str">
            <v>905</v>
          </cell>
          <cell r="C1255" t="str">
            <v>08</v>
          </cell>
          <cell r="D1255" t="str">
            <v>04</v>
          </cell>
          <cell r="E1255" t="str">
            <v>452 99 00</v>
          </cell>
          <cell r="F1255" t="str">
            <v>001</v>
          </cell>
        </row>
        <row r="1256">
          <cell r="A1256" t="str">
            <v>Оплата труда и начисления на оплату труда</v>
          </cell>
          <cell r="B1256" t="str">
            <v>905</v>
          </cell>
          <cell r="C1256" t="str">
            <v>08</v>
          </cell>
          <cell r="D1256" t="str">
            <v>04</v>
          </cell>
          <cell r="E1256" t="str">
            <v>452 99 00</v>
          </cell>
          <cell r="F1256" t="str">
            <v>001</v>
          </cell>
        </row>
        <row r="1257">
          <cell r="A1257" t="str">
            <v>Заработная плата</v>
          </cell>
          <cell r="B1257" t="str">
            <v>905</v>
          </cell>
          <cell r="C1257" t="str">
            <v>08</v>
          </cell>
          <cell r="D1257" t="str">
            <v>04</v>
          </cell>
          <cell r="E1257" t="str">
            <v>452 99 00</v>
          </cell>
          <cell r="F1257" t="str">
            <v>001</v>
          </cell>
        </row>
        <row r="1258">
          <cell r="A1258" t="str">
            <v>Прочие выплаты</v>
          </cell>
          <cell r="B1258" t="str">
            <v>905</v>
          </cell>
          <cell r="C1258" t="str">
            <v>08</v>
          </cell>
          <cell r="D1258" t="str">
            <v>04</v>
          </cell>
          <cell r="E1258" t="str">
            <v>452 99 00</v>
          </cell>
          <cell r="F1258" t="str">
            <v>001</v>
          </cell>
        </row>
        <row r="1259">
          <cell r="A1259" t="str">
            <v>Начисление на оплату труда</v>
          </cell>
          <cell r="B1259" t="str">
            <v>905</v>
          </cell>
          <cell r="C1259" t="str">
            <v>08</v>
          </cell>
          <cell r="D1259" t="str">
            <v>04</v>
          </cell>
          <cell r="E1259" t="str">
            <v>452 99 00</v>
          </cell>
          <cell r="F1259" t="str">
            <v>001</v>
          </cell>
        </row>
        <row r="1260">
          <cell r="A1260" t="str">
            <v>Приобретение услуг</v>
          </cell>
          <cell r="B1260" t="str">
            <v>905</v>
          </cell>
          <cell r="C1260" t="str">
            <v>08</v>
          </cell>
          <cell r="D1260" t="str">
            <v>04</v>
          </cell>
          <cell r="E1260" t="str">
            <v>452 99 00</v>
          </cell>
          <cell r="F1260" t="str">
            <v>001</v>
          </cell>
        </row>
        <row r="1261">
          <cell r="A1261" t="str">
            <v>Услуги связи </v>
          </cell>
          <cell r="B1261" t="str">
            <v>905</v>
          </cell>
          <cell r="C1261" t="str">
            <v>08</v>
          </cell>
          <cell r="D1261" t="str">
            <v>04</v>
          </cell>
          <cell r="E1261" t="str">
            <v>452 99 00</v>
          </cell>
          <cell r="F1261" t="str">
            <v>001</v>
          </cell>
        </row>
        <row r="1262">
          <cell r="A1262" t="str">
            <v>Транспортные услуги</v>
          </cell>
          <cell r="B1262" t="str">
            <v>905</v>
          </cell>
          <cell r="C1262" t="str">
            <v>08</v>
          </cell>
          <cell r="D1262" t="str">
            <v>04</v>
          </cell>
          <cell r="E1262" t="str">
            <v>452 99 00</v>
          </cell>
          <cell r="F1262" t="str">
            <v>001</v>
          </cell>
        </row>
        <row r="1263">
          <cell r="A1263" t="str">
            <v>Коммунальные услуги</v>
          </cell>
          <cell r="B1263" t="str">
            <v>905</v>
          </cell>
          <cell r="C1263" t="str">
            <v>08</v>
          </cell>
          <cell r="D1263" t="str">
            <v>04</v>
          </cell>
          <cell r="E1263" t="str">
            <v>452 99 00</v>
          </cell>
          <cell r="F1263" t="str">
            <v>001</v>
          </cell>
        </row>
        <row r="1264">
          <cell r="A1264" t="str">
            <v>Арендная плата за пользование иммуществом </v>
          </cell>
          <cell r="B1264" t="str">
            <v>905</v>
          </cell>
          <cell r="C1264" t="str">
            <v>08</v>
          </cell>
          <cell r="D1264" t="str">
            <v>04</v>
          </cell>
          <cell r="E1264" t="str">
            <v>452 99 00</v>
          </cell>
          <cell r="F1264" t="str">
            <v>001</v>
          </cell>
        </row>
        <row r="1265">
          <cell r="A1265" t="str">
            <v>Услуги по содержанию иммущества</v>
          </cell>
          <cell r="B1265" t="str">
            <v>905</v>
          </cell>
          <cell r="C1265" t="str">
            <v>08</v>
          </cell>
          <cell r="D1265" t="str">
            <v>04</v>
          </cell>
          <cell r="E1265" t="str">
            <v>452 99 00</v>
          </cell>
          <cell r="F1265" t="str">
            <v>001</v>
          </cell>
        </row>
        <row r="1266">
          <cell r="A1266" t="str">
            <v>Прочие услуги</v>
          </cell>
          <cell r="B1266" t="str">
            <v>905</v>
          </cell>
          <cell r="C1266" t="str">
            <v>08</v>
          </cell>
          <cell r="D1266" t="str">
            <v>04</v>
          </cell>
          <cell r="E1266" t="str">
            <v>452 99 00</v>
          </cell>
          <cell r="F1266" t="str">
            <v>001</v>
          </cell>
        </row>
        <row r="1267">
          <cell r="A1267" t="str">
            <v>Прочие расходы </v>
          </cell>
          <cell r="B1267" t="str">
            <v>905</v>
          </cell>
          <cell r="C1267" t="str">
            <v>08</v>
          </cell>
          <cell r="D1267" t="str">
            <v>04</v>
          </cell>
          <cell r="E1267" t="str">
            <v>452 99 00</v>
          </cell>
          <cell r="F1267" t="str">
            <v>001</v>
          </cell>
        </row>
        <row r="1268">
          <cell r="A1268" t="str">
            <v>Поступление нефинансовых активов</v>
          </cell>
          <cell r="B1268" t="str">
            <v>905</v>
          </cell>
          <cell r="C1268" t="str">
            <v>08</v>
          </cell>
          <cell r="D1268" t="str">
            <v>04</v>
          </cell>
          <cell r="E1268" t="str">
            <v>452 99 00</v>
          </cell>
          <cell r="F1268" t="str">
            <v>001</v>
          </cell>
        </row>
        <row r="1269">
          <cell r="A1269" t="str">
            <v>Увеличение стоимости основных средств</v>
          </cell>
          <cell r="B1269" t="str">
            <v>905</v>
          </cell>
          <cell r="C1269" t="str">
            <v>08</v>
          </cell>
          <cell r="D1269" t="str">
            <v>04</v>
          </cell>
          <cell r="E1269" t="str">
            <v>452 99 00</v>
          </cell>
          <cell r="F1269" t="str">
            <v>001</v>
          </cell>
        </row>
        <row r="1270">
          <cell r="A1270" t="str">
            <v>Увеличение стоимости материальных запасов</v>
          </cell>
          <cell r="B1270" t="str">
            <v>905</v>
          </cell>
          <cell r="C1270" t="str">
            <v>08</v>
          </cell>
          <cell r="D1270" t="str">
            <v>04</v>
          </cell>
          <cell r="E1270" t="str">
            <v>452 99 00</v>
          </cell>
          <cell r="F1270" t="str">
            <v>001</v>
          </cell>
        </row>
        <row r="1271">
          <cell r="A1271" t="str">
            <v>Целевые программы муниципальных образований </v>
          </cell>
          <cell r="B1271" t="str">
            <v>901</v>
          </cell>
          <cell r="C1271" t="str">
            <v>08</v>
          </cell>
          <cell r="D1271" t="str">
            <v>06</v>
          </cell>
          <cell r="E1271" t="str">
            <v>795 00 00</v>
          </cell>
          <cell r="F1271" t="str">
            <v>000</v>
          </cell>
        </row>
        <row r="1272">
          <cell r="A1272" t="str">
            <v>Государственная поддержка в сфере культуры, кинематографии и средств массовой информации </v>
          </cell>
          <cell r="B1272" t="str">
            <v>901</v>
          </cell>
          <cell r="C1272" t="str">
            <v>08</v>
          </cell>
          <cell r="D1272" t="str">
            <v>06</v>
          </cell>
          <cell r="E1272" t="str">
            <v>795 00 00</v>
          </cell>
          <cell r="F1272" t="str">
            <v>453</v>
          </cell>
        </row>
        <row r="1273">
          <cell r="A1273" t="str">
            <v>Прочие расходы </v>
          </cell>
          <cell r="B1273" t="str">
            <v>901</v>
          </cell>
          <cell r="C1273" t="str">
            <v>08</v>
          </cell>
          <cell r="D1273" t="str">
            <v>06</v>
          </cell>
          <cell r="E1273" t="str">
            <v>795 00 00</v>
          </cell>
          <cell r="F1273" t="str">
            <v>453</v>
          </cell>
        </row>
        <row r="1274">
          <cell r="A1274" t="str">
            <v>Поступление нефинансовых активов</v>
          </cell>
          <cell r="B1274" t="str">
            <v>901</v>
          </cell>
          <cell r="C1274" t="str">
            <v>08</v>
          </cell>
          <cell r="D1274" t="str">
            <v>06</v>
          </cell>
          <cell r="E1274" t="str">
            <v>795 00 00</v>
          </cell>
          <cell r="F1274" t="str">
            <v>453</v>
          </cell>
        </row>
        <row r="1275">
          <cell r="A1275" t="str">
            <v>Увеличение стоимости основных средств</v>
          </cell>
          <cell r="B1275" t="str">
            <v>901</v>
          </cell>
          <cell r="C1275" t="str">
            <v>08</v>
          </cell>
          <cell r="D1275" t="str">
            <v>06</v>
          </cell>
          <cell r="E1275" t="str">
            <v>795 00 00</v>
          </cell>
          <cell r="F1275" t="str">
            <v>453</v>
          </cell>
        </row>
        <row r="1276">
          <cell r="A1276" t="str">
            <v>Культура, кинематография </v>
          </cell>
          <cell r="C1276" t="str">
            <v>08</v>
          </cell>
          <cell r="D1276" t="str">
            <v>00</v>
          </cell>
          <cell r="E1276" t="str">
            <v>000 00 00</v>
          </cell>
          <cell r="F1276" t="str">
            <v>000</v>
          </cell>
        </row>
        <row r="1277">
          <cell r="A1277" t="str">
            <v>Расходы</v>
          </cell>
          <cell r="C1277" t="str">
            <v>08</v>
          </cell>
          <cell r="D1277" t="str">
            <v>00</v>
          </cell>
          <cell r="E1277" t="str">
            <v>000 00 00</v>
          </cell>
          <cell r="F1277" t="str">
            <v>000</v>
          </cell>
        </row>
        <row r="1278">
          <cell r="A1278" t="str">
            <v>Оплата труда и начисления на оплату труда</v>
          </cell>
          <cell r="C1278" t="str">
            <v>08</v>
          </cell>
          <cell r="D1278" t="str">
            <v>00</v>
          </cell>
          <cell r="E1278" t="str">
            <v>000 00 00</v>
          </cell>
          <cell r="F1278" t="str">
            <v>000</v>
          </cell>
        </row>
        <row r="1279">
          <cell r="A1279" t="str">
            <v>Заработная плата</v>
          </cell>
          <cell r="C1279" t="str">
            <v>08</v>
          </cell>
          <cell r="D1279" t="str">
            <v>00</v>
          </cell>
          <cell r="E1279" t="str">
            <v>000 00 00</v>
          </cell>
          <cell r="F1279" t="str">
            <v>000</v>
          </cell>
        </row>
        <row r="1280">
          <cell r="A1280" t="str">
            <v>Прочие выплаты</v>
          </cell>
          <cell r="C1280" t="str">
            <v>08</v>
          </cell>
          <cell r="D1280" t="str">
            <v>00</v>
          </cell>
          <cell r="E1280" t="str">
            <v>000 00 00</v>
          </cell>
          <cell r="F1280" t="str">
            <v>000</v>
          </cell>
        </row>
        <row r="1281">
          <cell r="A1281" t="str">
            <v>Начисление на оплату труда</v>
          </cell>
          <cell r="C1281" t="str">
            <v>08</v>
          </cell>
          <cell r="D1281" t="str">
            <v>00</v>
          </cell>
          <cell r="E1281" t="str">
            <v>000 00 00</v>
          </cell>
          <cell r="F1281" t="str">
            <v>000</v>
          </cell>
        </row>
        <row r="1282">
          <cell r="A1282" t="str">
            <v>Приобретение услуг</v>
          </cell>
          <cell r="C1282" t="str">
            <v>08</v>
          </cell>
          <cell r="D1282" t="str">
            <v>00</v>
          </cell>
          <cell r="E1282" t="str">
            <v>000 00 00</v>
          </cell>
          <cell r="F1282" t="str">
            <v>000</v>
          </cell>
        </row>
        <row r="1283">
          <cell r="A1283" t="str">
            <v>Услуги связи </v>
          </cell>
          <cell r="C1283" t="str">
            <v>08</v>
          </cell>
          <cell r="D1283" t="str">
            <v>00</v>
          </cell>
          <cell r="E1283" t="str">
            <v>000 00 00</v>
          </cell>
          <cell r="F1283" t="str">
            <v>000</v>
          </cell>
        </row>
        <row r="1284">
          <cell r="A1284" t="str">
            <v>Транспортные услуги</v>
          </cell>
          <cell r="C1284" t="str">
            <v>08</v>
          </cell>
          <cell r="D1284" t="str">
            <v>00</v>
          </cell>
          <cell r="E1284" t="str">
            <v>000 00 00</v>
          </cell>
          <cell r="F1284" t="str">
            <v>000</v>
          </cell>
        </row>
        <row r="1285">
          <cell r="A1285" t="str">
            <v>Коммунальные услуги</v>
          </cell>
          <cell r="C1285" t="str">
            <v>08</v>
          </cell>
          <cell r="D1285" t="str">
            <v>00</v>
          </cell>
          <cell r="E1285" t="str">
            <v>000 00 00</v>
          </cell>
          <cell r="F1285" t="str">
            <v>000</v>
          </cell>
        </row>
        <row r="1286">
          <cell r="A1286" t="str">
            <v>Арендная плата за пользование иммуществом </v>
          </cell>
          <cell r="C1286" t="str">
            <v>08</v>
          </cell>
          <cell r="D1286" t="str">
            <v>00</v>
          </cell>
          <cell r="E1286" t="str">
            <v>000 00 00</v>
          </cell>
          <cell r="F1286" t="str">
            <v>000</v>
          </cell>
        </row>
        <row r="1287">
          <cell r="A1287" t="str">
            <v>Услуги по содержанию иммущества</v>
          </cell>
          <cell r="C1287" t="str">
            <v>08</v>
          </cell>
          <cell r="D1287" t="str">
            <v>00</v>
          </cell>
          <cell r="E1287" t="str">
            <v>000 00 00</v>
          </cell>
          <cell r="F1287" t="str">
            <v>000</v>
          </cell>
        </row>
        <row r="1288">
          <cell r="A1288" t="str">
            <v>Прочие услуги</v>
          </cell>
          <cell r="C1288" t="str">
            <v>08</v>
          </cell>
          <cell r="D1288" t="str">
            <v>00</v>
          </cell>
          <cell r="E1288" t="str">
            <v>000 00 00</v>
          </cell>
          <cell r="F1288" t="str">
            <v>000</v>
          </cell>
        </row>
        <row r="1289">
          <cell r="A1289" t="str">
            <v>Прочие расходы</v>
          </cell>
          <cell r="C1289" t="str">
            <v>08</v>
          </cell>
          <cell r="D1289" t="str">
            <v>00</v>
          </cell>
          <cell r="E1289" t="str">
            <v>000 00 00</v>
          </cell>
          <cell r="F1289" t="str">
            <v>000</v>
          </cell>
        </row>
        <row r="1290">
          <cell r="A1290" t="str">
            <v>Поступление нефинансовых активов</v>
          </cell>
          <cell r="C1290" t="str">
            <v>08</v>
          </cell>
          <cell r="D1290" t="str">
            <v>00</v>
          </cell>
          <cell r="E1290" t="str">
            <v>000 00 00</v>
          </cell>
          <cell r="F1290" t="str">
            <v>000</v>
          </cell>
        </row>
        <row r="1291">
          <cell r="A1291" t="str">
            <v>Увеличение стоимости основных средств</v>
          </cell>
          <cell r="C1291" t="str">
            <v>08</v>
          </cell>
          <cell r="D1291" t="str">
            <v>00</v>
          </cell>
          <cell r="E1291" t="str">
            <v>000 00 00</v>
          </cell>
          <cell r="F1291" t="str">
            <v>000</v>
          </cell>
        </row>
        <row r="1292">
          <cell r="A1292" t="str">
            <v>Увеличение стоимости материальных запасов</v>
          </cell>
          <cell r="C1292" t="str">
            <v>08</v>
          </cell>
          <cell r="D1292" t="str">
            <v>00</v>
          </cell>
          <cell r="E1292" t="str">
            <v>000 00 00</v>
          </cell>
          <cell r="F1292" t="str">
            <v>000</v>
          </cell>
        </row>
        <row r="1293">
          <cell r="A1293" t="str">
            <v>ИТОГО:</v>
          </cell>
          <cell r="C1293" t="str">
            <v>08</v>
          </cell>
          <cell r="D1293" t="str">
            <v>00</v>
          </cell>
          <cell r="E1293" t="str">
            <v>000 00 00</v>
          </cell>
          <cell r="F1293" t="str">
            <v>000</v>
          </cell>
        </row>
        <row r="1294">
          <cell r="A1294" t="str">
            <v>Целевые программы муниципальных образований </v>
          </cell>
          <cell r="B1294" t="str">
            <v>905</v>
          </cell>
          <cell r="C1294" t="str">
            <v>08</v>
          </cell>
          <cell r="D1294" t="str">
            <v>04</v>
          </cell>
          <cell r="E1294" t="str">
            <v>795 00 00</v>
          </cell>
          <cell r="F1294" t="str">
            <v>000</v>
          </cell>
        </row>
        <row r="1295">
          <cell r="A1295" t="str">
            <v>Выполнение функций органами местного самоуправления</v>
          </cell>
          <cell r="B1295" t="str">
            <v>905</v>
          </cell>
          <cell r="C1295" t="str">
            <v>08</v>
          </cell>
          <cell r="D1295" t="str">
            <v>04</v>
          </cell>
          <cell r="E1295" t="str">
            <v>795 00 00</v>
          </cell>
          <cell r="F1295" t="str">
            <v>500</v>
          </cell>
        </row>
        <row r="1296">
          <cell r="A1296" t="str">
            <v>Обеспечение техники безопасности в ужреждениях культуры Усольского района на 2012-2014 гг</v>
          </cell>
          <cell r="B1296" t="str">
            <v>905</v>
          </cell>
          <cell r="C1296" t="str">
            <v>08</v>
          </cell>
          <cell r="D1296" t="str">
            <v>04</v>
          </cell>
          <cell r="E1296" t="str">
            <v>795 35 00</v>
          </cell>
          <cell r="F1296" t="str">
            <v>500</v>
          </cell>
        </row>
        <row r="1297">
          <cell r="A1297" t="str">
            <v>Здравоохранение</v>
          </cell>
          <cell r="B1297" t="str">
            <v>904</v>
          </cell>
          <cell r="C1297" t="str">
            <v>09</v>
          </cell>
          <cell r="D1297" t="str">
            <v>00</v>
          </cell>
          <cell r="E1297" t="str">
            <v>000 00 00</v>
          </cell>
          <cell r="F1297" t="str">
            <v>000</v>
          </cell>
        </row>
        <row r="1298">
          <cell r="A1298" t="str">
            <v>Стационарная медицинская помощь</v>
          </cell>
          <cell r="B1298" t="str">
            <v>904</v>
          </cell>
          <cell r="C1298" t="str">
            <v>09</v>
          </cell>
          <cell r="D1298" t="str">
            <v>01</v>
          </cell>
          <cell r="E1298" t="str">
            <v>000 00 00</v>
          </cell>
          <cell r="F1298" t="str">
            <v>000</v>
          </cell>
        </row>
        <row r="1299">
          <cell r="A1299" t="str">
            <v>Больницы, клиники, госпитали, медико-санитарные части</v>
          </cell>
          <cell r="B1299" t="str">
            <v>904</v>
          </cell>
          <cell r="C1299" t="str">
            <v>09</v>
          </cell>
          <cell r="D1299" t="str">
            <v>01</v>
          </cell>
          <cell r="E1299" t="str">
            <v>002 00 00</v>
          </cell>
          <cell r="F1299" t="str">
            <v>000</v>
          </cell>
        </row>
        <row r="1300">
          <cell r="A1300" t="str">
            <v>Осуществление отдельных областных государственных полномочий в области охраны здоровья граждан</v>
          </cell>
          <cell r="B1300" t="str">
            <v>904</v>
          </cell>
          <cell r="C1300" t="str">
            <v>09</v>
          </cell>
          <cell r="D1300" t="str">
            <v>01</v>
          </cell>
          <cell r="E1300" t="str">
            <v>002 52 00</v>
          </cell>
          <cell r="F1300" t="str">
            <v>000</v>
          </cell>
        </row>
        <row r="1301">
          <cell r="A1301" t="str">
            <v>Выполнение функций бюджетными учреждениями</v>
          </cell>
          <cell r="B1301" t="str">
            <v>904</v>
          </cell>
          <cell r="C1301" t="str">
            <v>09</v>
          </cell>
          <cell r="D1301" t="str">
            <v>01</v>
          </cell>
          <cell r="E1301" t="str">
            <v>002 52 00</v>
          </cell>
          <cell r="F1301" t="str">
            <v>001</v>
          </cell>
        </row>
        <row r="1302">
          <cell r="A1302" t="str">
            <v>Субсидии некоммерческим организациям</v>
          </cell>
          <cell r="B1302" t="str">
            <v>904 </v>
          </cell>
          <cell r="C1302" t="str">
            <v>09</v>
          </cell>
          <cell r="D1302" t="str">
            <v>01</v>
          </cell>
          <cell r="E1302" t="str">
            <v>002 52 00</v>
          </cell>
          <cell r="F1302" t="str">
            <v>019</v>
          </cell>
        </row>
        <row r="1303">
          <cell r="A1303" t="str">
            <v>Больницы, клиники, госпитали, медико-санитарные части</v>
          </cell>
          <cell r="B1303" t="str">
            <v>904</v>
          </cell>
          <cell r="C1303" t="str">
            <v>09</v>
          </cell>
          <cell r="D1303" t="str">
            <v>01</v>
          </cell>
          <cell r="E1303" t="str">
            <v>470 00 00</v>
          </cell>
          <cell r="F1303" t="str">
            <v>000</v>
          </cell>
        </row>
        <row r="1304">
          <cell r="A1304" t="str">
            <v>Обеспечение деятельности подведомственных учреждений</v>
          </cell>
          <cell r="B1304" t="str">
            <v>904</v>
          </cell>
          <cell r="C1304" t="str">
            <v>09</v>
          </cell>
          <cell r="D1304" t="str">
            <v>01</v>
          </cell>
          <cell r="E1304" t="str">
            <v>470 99 00</v>
          </cell>
          <cell r="F1304" t="str">
            <v>000</v>
          </cell>
        </row>
        <row r="1305">
          <cell r="A1305" t="str">
            <v>Выполнение функций бюджетными учреждениями</v>
          </cell>
          <cell r="B1305" t="str">
            <v>904</v>
          </cell>
          <cell r="C1305" t="str">
            <v>09</v>
          </cell>
          <cell r="D1305" t="str">
            <v>01</v>
          </cell>
          <cell r="E1305" t="str">
            <v>470 99 00</v>
          </cell>
          <cell r="F1305" t="str">
            <v>001</v>
          </cell>
        </row>
        <row r="1306">
          <cell r="A1306" t="str">
            <v>Расходы</v>
          </cell>
          <cell r="B1306" t="str">
            <v>904</v>
          </cell>
          <cell r="C1306" t="str">
            <v>09</v>
          </cell>
          <cell r="D1306" t="str">
            <v>01</v>
          </cell>
          <cell r="E1306" t="str">
            <v>470 99 00</v>
          </cell>
          <cell r="F1306" t="str">
            <v>001</v>
          </cell>
        </row>
        <row r="1307">
          <cell r="A1307" t="str">
            <v>Оплата труда и начисления на оплату труда</v>
          </cell>
          <cell r="B1307" t="str">
            <v>904</v>
          </cell>
          <cell r="C1307" t="str">
            <v>09</v>
          </cell>
          <cell r="D1307" t="str">
            <v>01</v>
          </cell>
          <cell r="E1307" t="str">
            <v>470 99 00</v>
          </cell>
          <cell r="F1307" t="str">
            <v>001</v>
          </cell>
        </row>
        <row r="1308">
          <cell r="A1308" t="str">
            <v>Заработная плата</v>
          </cell>
          <cell r="B1308" t="str">
            <v>904</v>
          </cell>
          <cell r="C1308" t="str">
            <v>09</v>
          </cell>
          <cell r="D1308" t="str">
            <v>01</v>
          </cell>
          <cell r="E1308" t="str">
            <v>470 99 00</v>
          </cell>
          <cell r="F1308" t="str">
            <v>001</v>
          </cell>
        </row>
        <row r="1309">
          <cell r="A1309" t="str">
            <v>Прочие выплаты</v>
          </cell>
          <cell r="B1309" t="str">
            <v>904</v>
          </cell>
          <cell r="C1309" t="str">
            <v>09</v>
          </cell>
          <cell r="D1309" t="str">
            <v>01</v>
          </cell>
          <cell r="E1309" t="str">
            <v>470 99 00</v>
          </cell>
          <cell r="F1309" t="str">
            <v>001</v>
          </cell>
        </row>
        <row r="1310">
          <cell r="A1310" t="str">
            <v>Начисление на оплату труда</v>
          </cell>
          <cell r="B1310" t="str">
            <v>904</v>
          </cell>
          <cell r="C1310" t="str">
            <v>09</v>
          </cell>
          <cell r="D1310" t="str">
            <v>01</v>
          </cell>
          <cell r="E1310" t="str">
            <v>470 99 00</v>
          </cell>
          <cell r="F1310" t="str">
            <v>001</v>
          </cell>
        </row>
        <row r="1311">
          <cell r="A1311" t="str">
            <v>Приобретение услуг</v>
          </cell>
          <cell r="B1311" t="str">
            <v>904</v>
          </cell>
          <cell r="C1311" t="str">
            <v>09</v>
          </cell>
          <cell r="D1311" t="str">
            <v>01</v>
          </cell>
          <cell r="E1311" t="str">
            <v>470 99 00</v>
          </cell>
          <cell r="F1311" t="str">
            <v>001</v>
          </cell>
        </row>
        <row r="1312">
          <cell r="A1312" t="str">
            <v>Услуги связи </v>
          </cell>
          <cell r="B1312" t="str">
            <v>904</v>
          </cell>
          <cell r="C1312" t="str">
            <v>09</v>
          </cell>
          <cell r="D1312" t="str">
            <v>01</v>
          </cell>
          <cell r="E1312" t="str">
            <v>470 99 00</v>
          </cell>
          <cell r="F1312" t="str">
            <v>001</v>
          </cell>
        </row>
        <row r="1313">
          <cell r="A1313" t="str">
            <v>Транспортные услуги</v>
          </cell>
          <cell r="B1313" t="str">
            <v>904</v>
          </cell>
          <cell r="C1313" t="str">
            <v>09</v>
          </cell>
          <cell r="D1313" t="str">
            <v>01</v>
          </cell>
          <cell r="E1313" t="str">
            <v>470 99 00</v>
          </cell>
          <cell r="F1313" t="str">
            <v>001</v>
          </cell>
        </row>
        <row r="1314">
          <cell r="A1314" t="str">
            <v>Коммунальные услуги</v>
          </cell>
          <cell r="B1314" t="str">
            <v>904</v>
          </cell>
          <cell r="C1314" t="str">
            <v>09</v>
          </cell>
          <cell r="D1314" t="str">
            <v>01</v>
          </cell>
          <cell r="E1314" t="str">
            <v>470 99 00</v>
          </cell>
          <cell r="F1314" t="str">
            <v>001</v>
          </cell>
        </row>
        <row r="1315">
          <cell r="A1315" t="str">
            <v>Арендная плата за пользование иммуществом </v>
          </cell>
          <cell r="B1315" t="str">
            <v>904</v>
          </cell>
          <cell r="C1315" t="str">
            <v>09</v>
          </cell>
          <cell r="D1315" t="str">
            <v>01</v>
          </cell>
          <cell r="E1315" t="str">
            <v>470 99 00</v>
          </cell>
          <cell r="F1315" t="str">
            <v>001</v>
          </cell>
        </row>
        <row r="1316">
          <cell r="A1316" t="str">
            <v>Услуги по содержанию иммущества</v>
          </cell>
          <cell r="B1316" t="str">
            <v>904</v>
          </cell>
          <cell r="C1316" t="str">
            <v>09</v>
          </cell>
          <cell r="D1316" t="str">
            <v>01</v>
          </cell>
          <cell r="E1316" t="str">
            <v>470 99 00</v>
          </cell>
          <cell r="F1316" t="str">
            <v>001</v>
          </cell>
        </row>
        <row r="1317">
          <cell r="A1317" t="str">
            <v>Услуги по содержанию иммущества 8,40,00</v>
          </cell>
          <cell r="B1317" t="str">
            <v>904</v>
          </cell>
          <cell r="C1317" t="str">
            <v>09</v>
          </cell>
          <cell r="D1317" t="str">
            <v>01</v>
          </cell>
          <cell r="E1317" t="str">
            <v>470 99 00</v>
          </cell>
          <cell r="F1317" t="str">
            <v>001</v>
          </cell>
        </row>
        <row r="1318">
          <cell r="A1318" t="str">
            <v>Услуги по содержанию иммущества 8,40,01</v>
          </cell>
          <cell r="B1318" t="str">
            <v>904</v>
          </cell>
          <cell r="C1318" t="str">
            <v>09</v>
          </cell>
          <cell r="D1318" t="str">
            <v>01</v>
          </cell>
          <cell r="E1318" t="str">
            <v>470 99 00</v>
          </cell>
          <cell r="F1318" t="str">
            <v>001</v>
          </cell>
        </row>
        <row r="1319">
          <cell r="A1319" t="str">
            <v>Услуги по содержанию иммущества 8,40,02</v>
          </cell>
          <cell r="B1319" t="str">
            <v>904</v>
          </cell>
          <cell r="C1319" t="str">
            <v>09</v>
          </cell>
          <cell r="D1319" t="str">
            <v>01</v>
          </cell>
          <cell r="E1319" t="str">
            <v>470 99 00</v>
          </cell>
          <cell r="F1319" t="str">
            <v>001</v>
          </cell>
        </row>
        <row r="1320">
          <cell r="A1320" t="str">
            <v>Прочие услуги</v>
          </cell>
          <cell r="B1320" t="str">
            <v>904</v>
          </cell>
          <cell r="C1320" t="str">
            <v>09</v>
          </cell>
          <cell r="D1320" t="str">
            <v>01</v>
          </cell>
          <cell r="E1320" t="str">
            <v>470 99 00</v>
          </cell>
          <cell r="F1320" t="str">
            <v>001</v>
          </cell>
        </row>
        <row r="1321">
          <cell r="A1321" t="str">
            <v>Прочие услуги ПСД Тайтурка   </v>
          </cell>
          <cell r="B1321" t="str">
            <v>904</v>
          </cell>
          <cell r="C1321" t="str">
            <v>09</v>
          </cell>
          <cell r="D1321" t="str">
            <v>01</v>
          </cell>
          <cell r="E1321" t="str">
            <v>470 99 00</v>
          </cell>
          <cell r="F1321" t="str">
            <v>001</v>
          </cell>
        </row>
        <row r="1322">
          <cell r="A1322" t="str">
            <v>Прочие расходы </v>
          </cell>
          <cell r="B1322" t="str">
            <v>904</v>
          </cell>
          <cell r="C1322" t="str">
            <v>09</v>
          </cell>
          <cell r="D1322" t="str">
            <v>01</v>
          </cell>
          <cell r="E1322" t="str">
            <v>470 99 00</v>
          </cell>
          <cell r="F1322" t="str">
            <v>001</v>
          </cell>
        </row>
        <row r="1323">
          <cell r="A1323" t="str">
            <v>Поступление нефинансовых активов</v>
          </cell>
          <cell r="B1323" t="str">
            <v>904</v>
          </cell>
          <cell r="C1323" t="str">
            <v>09</v>
          </cell>
          <cell r="D1323" t="str">
            <v>01</v>
          </cell>
          <cell r="E1323" t="str">
            <v>470 99 00</v>
          </cell>
          <cell r="F1323" t="str">
            <v>001</v>
          </cell>
        </row>
        <row r="1324">
          <cell r="A1324" t="str">
            <v>Увеличение стоимости основных средств</v>
          </cell>
          <cell r="B1324" t="str">
            <v>904</v>
          </cell>
          <cell r="C1324" t="str">
            <v>09</v>
          </cell>
          <cell r="D1324" t="str">
            <v>01</v>
          </cell>
          <cell r="E1324" t="str">
            <v>470 99 00</v>
          </cell>
          <cell r="F1324" t="str">
            <v>001</v>
          </cell>
        </row>
        <row r="1325">
          <cell r="A1325" t="str">
            <v>Увеличение стоимости материальных запасов</v>
          </cell>
          <cell r="B1325" t="str">
            <v>904</v>
          </cell>
          <cell r="C1325" t="str">
            <v>09</v>
          </cell>
          <cell r="D1325" t="str">
            <v>01</v>
          </cell>
          <cell r="E1325" t="str">
            <v>470 99 00</v>
          </cell>
          <cell r="F1325" t="str">
            <v>001</v>
          </cell>
        </row>
        <row r="1326">
          <cell r="A1326" t="str">
            <v>8,40,02</v>
          </cell>
          <cell r="B1326" t="str">
            <v>904</v>
          </cell>
          <cell r="C1326" t="str">
            <v>09</v>
          </cell>
          <cell r="D1326" t="str">
            <v>01</v>
          </cell>
          <cell r="E1326" t="str">
            <v>470 99 00</v>
          </cell>
          <cell r="F1326" t="str">
            <v>001</v>
          </cell>
        </row>
        <row r="1327">
          <cell r="A1327" t="str">
            <v>Закупка автотранспотрных средств и коммунальной техники </v>
          </cell>
          <cell r="B1327" t="str">
            <v>904</v>
          </cell>
          <cell r="C1327" t="str">
            <v>09</v>
          </cell>
          <cell r="D1327" t="str">
            <v>01</v>
          </cell>
          <cell r="E1327" t="str">
            <v>340 07 02</v>
          </cell>
          <cell r="F1327" t="str">
            <v>001</v>
          </cell>
        </row>
        <row r="1328">
          <cell r="A1328" t="str">
            <v>Обеспечение деятельности подведомственных учреждений</v>
          </cell>
          <cell r="B1328" t="str">
            <v>904</v>
          </cell>
          <cell r="C1328" t="str">
            <v>09</v>
          </cell>
          <cell r="D1328" t="str">
            <v>01</v>
          </cell>
          <cell r="E1328" t="str">
            <v>340 07 02</v>
          </cell>
          <cell r="F1328" t="str">
            <v>001</v>
          </cell>
        </row>
        <row r="1329">
          <cell r="A1329" t="str">
            <v>Выполнение функций бюджетными учреждениями</v>
          </cell>
          <cell r="B1329" t="str">
            <v>904</v>
          </cell>
          <cell r="C1329" t="str">
            <v>09</v>
          </cell>
          <cell r="D1329" t="str">
            <v>01</v>
          </cell>
          <cell r="E1329" t="str">
            <v>340 07 02</v>
          </cell>
          <cell r="F1329" t="str">
            <v>001</v>
          </cell>
        </row>
        <row r="1330">
          <cell r="A1330" t="str">
            <v>Поступление нефинансовых активов</v>
          </cell>
          <cell r="B1330" t="str">
            <v>904</v>
          </cell>
          <cell r="C1330" t="str">
            <v>09</v>
          </cell>
          <cell r="D1330" t="str">
            <v>01</v>
          </cell>
          <cell r="E1330" t="str">
            <v>340 07 02</v>
          </cell>
          <cell r="F1330" t="str">
            <v>001</v>
          </cell>
        </row>
        <row r="1331">
          <cell r="A1331" t="str">
            <v>Увеличение стоимости основных средств</v>
          </cell>
          <cell r="B1331" t="str">
            <v>904</v>
          </cell>
          <cell r="C1331" t="str">
            <v>09</v>
          </cell>
          <cell r="D1331" t="str">
            <v>01</v>
          </cell>
          <cell r="E1331" t="str">
            <v>340 07 02</v>
          </cell>
          <cell r="F1331" t="str">
            <v>001</v>
          </cell>
        </row>
        <row r="1332">
          <cell r="A1332" t="str">
            <v>Субсидии некоммерческим организациям</v>
          </cell>
          <cell r="B1332" t="str">
            <v>904</v>
          </cell>
          <cell r="C1332" t="str">
            <v>09</v>
          </cell>
          <cell r="D1332" t="str">
            <v>01</v>
          </cell>
          <cell r="E1332" t="str">
            <v>470 99 00</v>
          </cell>
          <cell r="F1332" t="str">
            <v>019</v>
          </cell>
        </row>
        <row r="1333">
          <cell r="A1333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333" t="str">
            <v>904</v>
          </cell>
          <cell r="C1333" t="str">
            <v>09</v>
          </cell>
          <cell r="D1333" t="str">
            <v>01</v>
          </cell>
          <cell r="E1333" t="str">
            <v>590 00 00</v>
          </cell>
          <cell r="F1333" t="str">
            <v>000</v>
          </cell>
        </row>
        <row r="1334">
          <cell r="A1334" t="str">
            <v>Выполнение функций бюджетными учреждениями</v>
          </cell>
          <cell r="B1334" t="str">
            <v>904</v>
          </cell>
          <cell r="C1334" t="str">
            <v>09</v>
          </cell>
          <cell r="D1334" t="str">
            <v>01</v>
          </cell>
          <cell r="E1334" t="str">
            <v>590 00 00</v>
          </cell>
          <cell r="F1334" t="str">
            <v>001</v>
          </cell>
        </row>
        <row r="1335">
          <cell r="A1335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1335" t="str">
            <v>904</v>
          </cell>
          <cell r="C1335" t="str">
            <v>09</v>
          </cell>
          <cell r="D1335" t="str">
            <v>01</v>
          </cell>
          <cell r="E1335" t="str">
            <v>594 00 00</v>
          </cell>
          <cell r="F1335" t="str">
            <v>000</v>
          </cell>
        </row>
        <row r="1336">
          <cell r="A1336" t="str">
            <v>Субсидии некоммерческим организациям</v>
          </cell>
          <cell r="B1336" t="str">
            <v>904</v>
          </cell>
          <cell r="C1336" t="str">
            <v>09</v>
          </cell>
          <cell r="D1336" t="str">
            <v>01</v>
          </cell>
          <cell r="E1336" t="str">
            <v>594 00 00</v>
          </cell>
          <cell r="F1336" t="str">
            <v>019</v>
          </cell>
        </row>
        <row r="1337">
          <cell r="A1337" t="str">
            <v>Амбулаторная помощь</v>
          </cell>
          <cell r="B1337" t="str">
            <v>904</v>
          </cell>
          <cell r="C1337" t="str">
            <v>09</v>
          </cell>
          <cell r="D1337" t="str">
            <v>02</v>
          </cell>
          <cell r="E1337" t="str">
            <v>000 00 00</v>
          </cell>
          <cell r="F1337" t="str">
            <v>000</v>
          </cell>
        </row>
        <row r="1338">
          <cell r="A1338" t="str">
            <v>Больницы, клиники, госпитали, медико-санитарные части</v>
          </cell>
          <cell r="B1338" t="str">
            <v>904</v>
          </cell>
          <cell r="C1338" t="str">
            <v>09</v>
          </cell>
          <cell r="D1338" t="str">
            <v>02</v>
          </cell>
          <cell r="E1338" t="str">
            <v>002 00 00</v>
          </cell>
          <cell r="F1338" t="str">
            <v>000</v>
          </cell>
        </row>
        <row r="1339">
          <cell r="A1339" t="str">
            <v>Осуществление отдельных областных государственных полномочий в области охраны здоровья граждан</v>
          </cell>
          <cell r="B1339" t="str">
            <v>904</v>
          </cell>
          <cell r="C1339" t="str">
            <v>09</v>
          </cell>
          <cell r="D1339" t="str">
            <v>02</v>
          </cell>
          <cell r="E1339" t="str">
            <v>002 52 00</v>
          </cell>
          <cell r="F1339" t="str">
            <v>000</v>
          </cell>
        </row>
        <row r="1340">
          <cell r="A1340" t="str">
            <v>Выполнение функций бюджетными учреждениями</v>
          </cell>
          <cell r="B1340" t="str">
            <v>904</v>
          </cell>
          <cell r="C1340" t="str">
            <v>09</v>
          </cell>
          <cell r="D1340" t="str">
            <v>02</v>
          </cell>
          <cell r="E1340" t="str">
            <v>002 52 00</v>
          </cell>
          <cell r="F1340" t="str">
            <v>001</v>
          </cell>
        </row>
        <row r="1341">
          <cell r="A1341" t="str">
            <v>Субсидии некоммерческим организациям</v>
          </cell>
          <cell r="B1341" t="str">
            <v>904</v>
          </cell>
          <cell r="C1341" t="str">
            <v>09</v>
          </cell>
          <cell r="D1341" t="str">
            <v>02</v>
          </cell>
          <cell r="E1341" t="str">
            <v>002 52 00</v>
          </cell>
          <cell r="F1341" t="str">
            <v>019</v>
          </cell>
        </row>
        <row r="1342">
          <cell r="A1342" t="str">
            <v>Больницы, клиники, госпитали, медико-санитарные части</v>
          </cell>
          <cell r="B1342" t="str">
            <v>904</v>
          </cell>
          <cell r="C1342" t="str">
            <v>09</v>
          </cell>
          <cell r="D1342" t="str">
            <v>02</v>
          </cell>
          <cell r="E1342" t="str">
            <v>470 00 00</v>
          </cell>
          <cell r="F1342" t="str">
            <v>000</v>
          </cell>
        </row>
        <row r="1343">
          <cell r="A1343" t="str">
            <v>Обеспечение деятельности подведомственных учреждений</v>
          </cell>
          <cell r="B1343" t="str">
            <v>904</v>
          </cell>
          <cell r="C1343" t="str">
            <v>09</v>
          </cell>
          <cell r="D1343" t="str">
            <v>02</v>
          </cell>
          <cell r="E1343" t="str">
            <v>470 99 00</v>
          </cell>
          <cell r="F1343" t="str">
            <v>000</v>
          </cell>
        </row>
        <row r="1344">
          <cell r="A1344" t="str">
            <v>Выполнение функций бюджетными учреждениями</v>
          </cell>
          <cell r="B1344" t="str">
            <v>904</v>
          </cell>
          <cell r="C1344" t="str">
            <v>09</v>
          </cell>
          <cell r="D1344" t="str">
            <v>02</v>
          </cell>
          <cell r="E1344" t="str">
            <v>470 99 00</v>
          </cell>
          <cell r="F1344" t="str">
            <v>001</v>
          </cell>
        </row>
        <row r="1345">
          <cell r="A1345" t="str">
            <v>Расходы</v>
          </cell>
          <cell r="B1345" t="str">
            <v>904</v>
          </cell>
          <cell r="C1345" t="str">
            <v>09</v>
          </cell>
          <cell r="D1345" t="str">
            <v>02</v>
          </cell>
          <cell r="E1345" t="str">
            <v>470 99 00</v>
          </cell>
          <cell r="F1345" t="str">
            <v>001</v>
          </cell>
        </row>
        <row r="1346">
          <cell r="A1346" t="str">
            <v>Оплата труда и начисления на оплату труда</v>
          </cell>
          <cell r="B1346" t="str">
            <v>904</v>
          </cell>
          <cell r="C1346" t="str">
            <v>09</v>
          </cell>
          <cell r="D1346" t="str">
            <v>02</v>
          </cell>
          <cell r="E1346" t="str">
            <v>470 99 00</v>
          </cell>
          <cell r="F1346" t="str">
            <v>001</v>
          </cell>
        </row>
        <row r="1347">
          <cell r="A1347" t="str">
            <v>Заработная плата</v>
          </cell>
          <cell r="B1347" t="str">
            <v>904</v>
          </cell>
          <cell r="C1347" t="str">
            <v>09</v>
          </cell>
          <cell r="D1347" t="str">
            <v>02</v>
          </cell>
          <cell r="E1347" t="str">
            <v>470 99 00</v>
          </cell>
          <cell r="F1347" t="str">
            <v>001</v>
          </cell>
        </row>
        <row r="1348">
          <cell r="A1348" t="str">
            <v>Прочие выплаты</v>
          </cell>
          <cell r="B1348" t="str">
            <v>904</v>
          </cell>
          <cell r="C1348" t="str">
            <v>09</v>
          </cell>
          <cell r="D1348" t="str">
            <v>02</v>
          </cell>
          <cell r="E1348" t="str">
            <v>470 99 00</v>
          </cell>
          <cell r="F1348" t="str">
            <v>001</v>
          </cell>
        </row>
        <row r="1349">
          <cell r="A1349" t="str">
            <v>Начисление на оплату труда</v>
          </cell>
          <cell r="B1349" t="str">
            <v>904</v>
          </cell>
          <cell r="C1349" t="str">
            <v>09</v>
          </cell>
          <cell r="D1349" t="str">
            <v>02</v>
          </cell>
          <cell r="E1349" t="str">
            <v>470 99 00</v>
          </cell>
          <cell r="F1349" t="str">
            <v>001</v>
          </cell>
        </row>
        <row r="1350">
          <cell r="A1350" t="str">
            <v>Приобретение услуг</v>
          </cell>
          <cell r="B1350" t="str">
            <v>904</v>
          </cell>
          <cell r="C1350" t="str">
            <v>09</v>
          </cell>
          <cell r="D1350" t="str">
            <v>02</v>
          </cell>
          <cell r="E1350" t="str">
            <v>470 99 00</v>
          </cell>
          <cell r="F1350" t="str">
            <v>001</v>
          </cell>
        </row>
        <row r="1351">
          <cell r="A1351" t="str">
            <v>Услуги связи </v>
          </cell>
          <cell r="B1351" t="str">
            <v>904</v>
          </cell>
          <cell r="C1351" t="str">
            <v>09</v>
          </cell>
          <cell r="D1351" t="str">
            <v>02</v>
          </cell>
          <cell r="E1351" t="str">
            <v>470 99 00</v>
          </cell>
          <cell r="F1351" t="str">
            <v>001</v>
          </cell>
        </row>
        <row r="1352">
          <cell r="A1352" t="str">
            <v>Транспортные услуги</v>
          </cell>
          <cell r="B1352" t="str">
            <v>904</v>
          </cell>
          <cell r="C1352" t="str">
            <v>09</v>
          </cell>
          <cell r="D1352" t="str">
            <v>02</v>
          </cell>
          <cell r="E1352" t="str">
            <v>470 99 00</v>
          </cell>
          <cell r="F1352" t="str">
            <v>001</v>
          </cell>
        </row>
        <row r="1353">
          <cell r="A1353" t="str">
            <v>Коммунальные услуги</v>
          </cell>
          <cell r="B1353" t="str">
            <v>904</v>
          </cell>
          <cell r="C1353" t="str">
            <v>09</v>
          </cell>
          <cell r="D1353" t="str">
            <v>02</v>
          </cell>
          <cell r="E1353" t="str">
            <v>470 99 00</v>
          </cell>
          <cell r="F1353" t="str">
            <v>001</v>
          </cell>
        </row>
        <row r="1354">
          <cell r="A1354" t="str">
            <v>Арендная плата за пользование иммуществом </v>
          </cell>
          <cell r="B1354" t="str">
            <v>904</v>
          </cell>
          <cell r="C1354" t="str">
            <v>09</v>
          </cell>
          <cell r="D1354" t="str">
            <v>02</v>
          </cell>
          <cell r="E1354" t="str">
            <v>470 99 00</v>
          </cell>
          <cell r="F1354" t="str">
            <v>001</v>
          </cell>
        </row>
        <row r="1355">
          <cell r="A1355" t="str">
            <v>Услуги по содержанию иммущества</v>
          </cell>
          <cell r="B1355" t="str">
            <v>904</v>
          </cell>
          <cell r="C1355" t="str">
            <v>09</v>
          </cell>
          <cell r="D1355" t="str">
            <v>02</v>
          </cell>
          <cell r="E1355" t="str">
            <v>470 99 00</v>
          </cell>
          <cell r="F1355" t="str">
            <v>001</v>
          </cell>
        </row>
        <row r="1356">
          <cell r="A1356" t="str">
            <v>Услуги по содержанию иммущества 8,40,00</v>
          </cell>
          <cell r="B1356" t="str">
            <v>904</v>
          </cell>
          <cell r="C1356" t="str">
            <v>09</v>
          </cell>
          <cell r="D1356" t="str">
            <v>02</v>
          </cell>
          <cell r="E1356" t="str">
            <v>470 99 00</v>
          </cell>
          <cell r="F1356" t="str">
            <v>001</v>
          </cell>
        </row>
        <row r="1357">
          <cell r="A1357" t="str">
            <v>Прочие услуги</v>
          </cell>
          <cell r="B1357" t="str">
            <v>904</v>
          </cell>
          <cell r="C1357" t="str">
            <v>09</v>
          </cell>
          <cell r="D1357" t="str">
            <v>02</v>
          </cell>
          <cell r="E1357" t="str">
            <v>470 99 00</v>
          </cell>
          <cell r="F1357" t="str">
            <v>001</v>
          </cell>
        </row>
        <row r="1358">
          <cell r="A1358" t="str">
            <v>Прочие расходы </v>
          </cell>
          <cell r="B1358" t="str">
            <v>904</v>
          </cell>
          <cell r="C1358" t="str">
            <v>09</v>
          </cell>
          <cell r="D1358" t="str">
            <v>02</v>
          </cell>
          <cell r="E1358" t="str">
            <v>470 99 00</v>
          </cell>
          <cell r="F1358" t="str">
            <v>001</v>
          </cell>
        </row>
        <row r="1359">
          <cell r="A1359" t="str">
            <v>Поступление нефинансовых активов</v>
          </cell>
          <cell r="B1359" t="str">
            <v>904</v>
          </cell>
          <cell r="C1359" t="str">
            <v>09</v>
          </cell>
          <cell r="D1359" t="str">
            <v>02</v>
          </cell>
          <cell r="E1359" t="str">
            <v>470 99 00</v>
          </cell>
          <cell r="F1359" t="str">
            <v>001</v>
          </cell>
        </row>
        <row r="1360">
          <cell r="A1360" t="str">
            <v>Увеличение стоимости основных средств</v>
          </cell>
          <cell r="B1360" t="str">
            <v>904</v>
          </cell>
          <cell r="C1360" t="str">
            <v>09</v>
          </cell>
          <cell r="D1360" t="str">
            <v>02</v>
          </cell>
          <cell r="E1360" t="str">
            <v>470 99 00</v>
          </cell>
          <cell r="F1360" t="str">
            <v>001</v>
          </cell>
        </row>
        <row r="1361">
          <cell r="A1361" t="str">
            <v>Увеличение стоимости материальных запасов</v>
          </cell>
          <cell r="B1361" t="str">
            <v>904</v>
          </cell>
          <cell r="C1361" t="str">
            <v>09</v>
          </cell>
          <cell r="D1361" t="str">
            <v>02</v>
          </cell>
          <cell r="E1361" t="str">
            <v>470 99 00</v>
          </cell>
          <cell r="F1361" t="str">
            <v>001</v>
          </cell>
        </row>
        <row r="1362">
          <cell r="A1362" t="str">
            <v>Субсидии некоммерческим организациям</v>
          </cell>
          <cell r="B1362" t="str">
            <v>904</v>
          </cell>
          <cell r="C1362" t="str">
            <v>09</v>
          </cell>
          <cell r="D1362" t="str">
            <v>02</v>
          </cell>
          <cell r="E1362" t="str">
            <v>470 99 00</v>
          </cell>
          <cell r="F1362" t="str">
            <v>019</v>
          </cell>
        </row>
        <row r="1363">
          <cell r="A1363" t="str">
            <v>Поликлиники, амбулатории, диагностические центры</v>
          </cell>
          <cell r="B1363" t="str">
            <v>904</v>
          </cell>
          <cell r="C1363" t="str">
            <v>09</v>
          </cell>
          <cell r="D1363" t="str">
            <v>02</v>
          </cell>
          <cell r="E1363" t="str">
            <v>002 00 00</v>
          </cell>
          <cell r="F1363" t="str">
            <v>000</v>
          </cell>
        </row>
        <row r="1364">
          <cell r="A1364" t="str">
            <v>Осуществление отдельных областных государственных полномочий в области охраны здоровья граждан</v>
          </cell>
          <cell r="B1364" t="str">
            <v>904</v>
          </cell>
          <cell r="C1364" t="str">
            <v>09</v>
          </cell>
          <cell r="D1364" t="str">
            <v>02</v>
          </cell>
          <cell r="E1364" t="str">
            <v>002 52 00</v>
          </cell>
          <cell r="F1364" t="str">
            <v>000</v>
          </cell>
        </row>
        <row r="1365">
          <cell r="A1365" t="str">
            <v>Выполнение функций бюджетными учреждениями</v>
          </cell>
          <cell r="B1365" t="str">
            <v>904</v>
          </cell>
          <cell r="C1365" t="str">
            <v>09</v>
          </cell>
          <cell r="D1365" t="str">
            <v>02</v>
          </cell>
          <cell r="E1365" t="str">
            <v>002 52 00</v>
          </cell>
          <cell r="F1365" t="str">
            <v>001</v>
          </cell>
        </row>
        <row r="1366">
          <cell r="A1366" t="str">
            <v>Субсидии некоммерческим организациям</v>
          </cell>
          <cell r="B1366" t="str">
            <v>904</v>
          </cell>
          <cell r="C1366" t="str">
            <v>09</v>
          </cell>
          <cell r="D1366" t="str">
            <v>02</v>
          </cell>
          <cell r="E1366" t="str">
            <v>002 52 00</v>
          </cell>
          <cell r="F1366" t="str">
            <v>019</v>
          </cell>
        </row>
        <row r="1367">
          <cell r="A1367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367" t="str">
            <v>904</v>
          </cell>
          <cell r="C1367" t="str">
            <v>09</v>
          </cell>
          <cell r="D1367" t="str">
            <v>02</v>
          </cell>
          <cell r="E1367" t="str">
            <v>590 00 00</v>
          </cell>
          <cell r="F1367" t="str">
            <v>000</v>
          </cell>
        </row>
        <row r="1368">
          <cell r="A1368" t="str">
            <v>Выполнение функций бюджетными учреждениями</v>
          </cell>
          <cell r="B1368" t="str">
            <v>904</v>
          </cell>
          <cell r="C1368" t="str">
            <v>09</v>
          </cell>
          <cell r="D1368" t="str">
            <v>02</v>
          </cell>
          <cell r="E1368" t="str">
            <v>590 00 00</v>
          </cell>
          <cell r="F1368" t="str">
            <v>001</v>
          </cell>
        </row>
        <row r="1369">
          <cell r="A1369" t="str">
            <v>Поликлиники, амбулатории, диагностические центры</v>
          </cell>
          <cell r="B1369" t="str">
            <v>904</v>
          </cell>
          <cell r="C1369" t="str">
            <v>09</v>
          </cell>
          <cell r="D1369" t="str">
            <v>02</v>
          </cell>
          <cell r="E1369" t="str">
            <v>471 00 00</v>
          </cell>
          <cell r="F1369" t="str">
            <v>000</v>
          </cell>
        </row>
        <row r="1370">
          <cell r="A1370" t="str">
            <v>Обеспечение деятельности подведомственных учреждений</v>
          </cell>
          <cell r="B1370" t="str">
            <v>904</v>
          </cell>
          <cell r="C1370" t="str">
            <v>09</v>
          </cell>
          <cell r="D1370" t="str">
            <v>02</v>
          </cell>
          <cell r="E1370" t="str">
            <v>471 99 00</v>
          </cell>
          <cell r="F1370" t="str">
            <v>000</v>
          </cell>
        </row>
        <row r="1371">
          <cell r="A1371" t="str">
            <v>Выполнение функций бюджетными учреждениями</v>
          </cell>
          <cell r="B1371" t="str">
            <v>904</v>
          </cell>
          <cell r="C1371" t="str">
            <v>09</v>
          </cell>
          <cell r="D1371" t="str">
            <v>02</v>
          </cell>
          <cell r="E1371" t="str">
            <v>471 99 00</v>
          </cell>
          <cell r="F1371" t="str">
            <v>001</v>
          </cell>
        </row>
        <row r="1372">
          <cell r="A1372" t="str">
            <v>Расходы</v>
          </cell>
          <cell r="B1372" t="str">
            <v>904</v>
          </cell>
          <cell r="C1372" t="str">
            <v>09</v>
          </cell>
          <cell r="D1372" t="str">
            <v>02</v>
          </cell>
          <cell r="E1372" t="str">
            <v>471 99 00</v>
          </cell>
          <cell r="F1372" t="str">
            <v>001</v>
          </cell>
        </row>
        <row r="1373">
          <cell r="A1373" t="str">
            <v>Оплата труда и начисления на оплату труда</v>
          </cell>
          <cell r="B1373" t="str">
            <v>904</v>
          </cell>
          <cell r="C1373" t="str">
            <v>09</v>
          </cell>
          <cell r="D1373" t="str">
            <v>02</v>
          </cell>
          <cell r="E1373" t="str">
            <v>471 99 00</v>
          </cell>
          <cell r="F1373" t="str">
            <v>001</v>
          </cell>
        </row>
        <row r="1374">
          <cell r="A1374" t="str">
            <v>Заработная плата</v>
          </cell>
          <cell r="B1374" t="str">
            <v>904</v>
          </cell>
          <cell r="C1374" t="str">
            <v>09</v>
          </cell>
          <cell r="D1374" t="str">
            <v>02</v>
          </cell>
          <cell r="E1374" t="str">
            <v>471 99 00</v>
          </cell>
          <cell r="F1374" t="str">
            <v>001</v>
          </cell>
        </row>
        <row r="1375">
          <cell r="A1375" t="str">
            <v>Прочие выплаты</v>
          </cell>
          <cell r="B1375" t="str">
            <v>904</v>
          </cell>
          <cell r="C1375" t="str">
            <v>09</v>
          </cell>
          <cell r="D1375" t="str">
            <v>02</v>
          </cell>
          <cell r="E1375" t="str">
            <v>471 99 00</v>
          </cell>
          <cell r="F1375" t="str">
            <v>001</v>
          </cell>
        </row>
        <row r="1376">
          <cell r="A1376" t="str">
            <v>Начисление на оплату труда</v>
          </cell>
          <cell r="B1376" t="str">
            <v>904</v>
          </cell>
          <cell r="C1376" t="str">
            <v>09</v>
          </cell>
          <cell r="D1376" t="str">
            <v>02</v>
          </cell>
          <cell r="E1376" t="str">
            <v>471 99 00</v>
          </cell>
          <cell r="F1376" t="str">
            <v>001</v>
          </cell>
        </row>
        <row r="1377">
          <cell r="A1377" t="str">
            <v>Приобретение услуг</v>
          </cell>
          <cell r="B1377" t="str">
            <v>904</v>
          </cell>
          <cell r="C1377" t="str">
            <v>09</v>
          </cell>
          <cell r="D1377" t="str">
            <v>02</v>
          </cell>
          <cell r="E1377" t="str">
            <v>471 99 00</v>
          </cell>
          <cell r="F1377" t="str">
            <v>001</v>
          </cell>
        </row>
        <row r="1378">
          <cell r="A1378" t="str">
            <v>Услуги связи </v>
          </cell>
          <cell r="B1378" t="str">
            <v>904</v>
          </cell>
          <cell r="C1378" t="str">
            <v>09</v>
          </cell>
          <cell r="D1378" t="str">
            <v>02</v>
          </cell>
          <cell r="E1378" t="str">
            <v>471 99 00</v>
          </cell>
          <cell r="F1378" t="str">
            <v>001</v>
          </cell>
        </row>
        <row r="1379">
          <cell r="A1379" t="str">
            <v>Транспортные услуги</v>
          </cell>
          <cell r="B1379" t="str">
            <v>904</v>
          </cell>
          <cell r="C1379" t="str">
            <v>09</v>
          </cell>
          <cell r="D1379" t="str">
            <v>02</v>
          </cell>
          <cell r="E1379" t="str">
            <v>471 99 00</v>
          </cell>
          <cell r="F1379" t="str">
            <v>001</v>
          </cell>
        </row>
        <row r="1380">
          <cell r="A1380" t="str">
            <v>Коммунальные услуги</v>
          </cell>
          <cell r="B1380" t="str">
            <v>904</v>
          </cell>
          <cell r="C1380" t="str">
            <v>09</v>
          </cell>
          <cell r="D1380" t="str">
            <v>02</v>
          </cell>
          <cell r="E1380" t="str">
            <v>471 99 00</v>
          </cell>
          <cell r="F1380" t="str">
            <v>001</v>
          </cell>
        </row>
        <row r="1381">
          <cell r="A1381" t="str">
            <v>Арендная плата за пользование иммуществом </v>
          </cell>
          <cell r="B1381" t="str">
            <v>904</v>
          </cell>
          <cell r="C1381" t="str">
            <v>09</v>
          </cell>
          <cell r="D1381" t="str">
            <v>02</v>
          </cell>
          <cell r="E1381" t="str">
            <v>471 99 00</v>
          </cell>
          <cell r="F1381" t="str">
            <v>001</v>
          </cell>
        </row>
        <row r="1382">
          <cell r="A1382" t="str">
            <v>Услуги по содержанию иммущества</v>
          </cell>
          <cell r="B1382" t="str">
            <v>904</v>
          </cell>
          <cell r="C1382" t="str">
            <v>09</v>
          </cell>
          <cell r="D1382" t="str">
            <v>02</v>
          </cell>
          <cell r="E1382" t="str">
            <v>471 99 00</v>
          </cell>
          <cell r="F1382" t="str">
            <v>001</v>
          </cell>
        </row>
        <row r="1383">
          <cell r="A1383" t="str">
            <v>Услуги по содержанию иммущества 8,40,00</v>
          </cell>
          <cell r="B1383" t="str">
            <v>904</v>
          </cell>
          <cell r="C1383" t="str">
            <v>09</v>
          </cell>
          <cell r="D1383" t="str">
            <v>02</v>
          </cell>
          <cell r="E1383" t="str">
            <v>471 99 00</v>
          </cell>
          <cell r="F1383" t="str">
            <v>001</v>
          </cell>
        </row>
        <row r="1384">
          <cell r="A1384" t="str">
            <v>Прочие услуги</v>
          </cell>
          <cell r="B1384" t="str">
            <v>904</v>
          </cell>
          <cell r="C1384" t="str">
            <v>09</v>
          </cell>
          <cell r="D1384" t="str">
            <v>02</v>
          </cell>
          <cell r="E1384" t="str">
            <v>471 99 00</v>
          </cell>
          <cell r="F1384" t="str">
            <v>001</v>
          </cell>
        </row>
        <row r="1385">
          <cell r="A1385" t="str">
            <v>Прочие расходы </v>
          </cell>
          <cell r="B1385" t="str">
            <v>904</v>
          </cell>
          <cell r="C1385" t="str">
            <v>09</v>
          </cell>
          <cell r="D1385" t="str">
            <v>02</v>
          </cell>
          <cell r="E1385" t="str">
            <v>471 99 00</v>
          </cell>
          <cell r="F1385" t="str">
            <v>001</v>
          </cell>
        </row>
        <row r="1386">
          <cell r="A1386" t="str">
            <v>Поступление нефинансовых активов</v>
          </cell>
          <cell r="B1386" t="str">
            <v>904</v>
          </cell>
          <cell r="C1386" t="str">
            <v>09</v>
          </cell>
          <cell r="D1386" t="str">
            <v>02</v>
          </cell>
          <cell r="E1386" t="str">
            <v>471 99 00</v>
          </cell>
          <cell r="F1386" t="str">
            <v>001</v>
          </cell>
        </row>
        <row r="1387">
          <cell r="A1387" t="str">
            <v>Увеличение стоимости основных средств</v>
          </cell>
          <cell r="B1387" t="str">
            <v>904</v>
          </cell>
          <cell r="C1387" t="str">
            <v>09</v>
          </cell>
          <cell r="D1387" t="str">
            <v>02</v>
          </cell>
          <cell r="E1387" t="str">
            <v>471 99 00</v>
          </cell>
          <cell r="F1387" t="str">
            <v>001</v>
          </cell>
        </row>
        <row r="1388">
          <cell r="A1388" t="str">
            <v>Увеличение стоимости материальных запасов</v>
          </cell>
          <cell r="B1388" t="str">
            <v>904</v>
          </cell>
          <cell r="C1388" t="str">
            <v>09</v>
          </cell>
          <cell r="D1388" t="str">
            <v>02</v>
          </cell>
          <cell r="E1388" t="str">
            <v>471 99 00</v>
          </cell>
          <cell r="F1388" t="str">
            <v>001</v>
          </cell>
        </row>
        <row r="1389">
          <cell r="A1389" t="str">
            <v>Субсидии некоммерческим организациям</v>
          </cell>
          <cell r="B1389" t="str">
            <v>904</v>
          </cell>
          <cell r="C1389" t="str">
            <v>09</v>
          </cell>
          <cell r="D1389" t="str">
            <v>02</v>
          </cell>
          <cell r="E1389" t="str">
            <v>471 99 00</v>
          </cell>
          <cell r="F1389" t="str">
            <v>019</v>
          </cell>
        </row>
        <row r="1390">
          <cell r="A1390" t="str">
            <v>Иные безвозмездные и безвозвратные перечисления </v>
          </cell>
          <cell r="B1390" t="str">
            <v>904</v>
          </cell>
          <cell r="C1390" t="str">
            <v>09</v>
          </cell>
          <cell r="D1390" t="str">
            <v>02</v>
          </cell>
          <cell r="E1390" t="str">
            <v>520 00 00</v>
          </cell>
          <cell r="F1390" t="str">
            <v>000 </v>
          </cell>
        </row>
        <row r="1391">
          <cell r="A1391" t="str">
            <v>Денежные выплаты медицинскому персоналу фельдшерско-акушерских пунктов, врачам, фельдшерам и медицинским сестрам скорой медицинской помощи</v>
          </cell>
          <cell r="B1391" t="str">
            <v>904</v>
          </cell>
          <cell r="C1391" t="str">
            <v>09</v>
          </cell>
          <cell r="D1391" t="str">
            <v>02</v>
          </cell>
          <cell r="E1391" t="str">
            <v>520 18 00</v>
          </cell>
          <cell r="F1391" t="str">
            <v>000</v>
          </cell>
        </row>
        <row r="1392">
          <cell r="A1392" t="str">
            <v>Выполнение функций бюджетными учреждениями</v>
          </cell>
          <cell r="B1392" t="str">
            <v>904</v>
          </cell>
          <cell r="C1392" t="str">
            <v>09</v>
          </cell>
          <cell r="D1392" t="str">
            <v>02</v>
          </cell>
          <cell r="E1392" t="str">
            <v>520 18 00</v>
          </cell>
          <cell r="F1392" t="str">
            <v>001</v>
          </cell>
        </row>
        <row r="1393">
          <cell r="A1393" t="str">
            <v>Расходы</v>
          </cell>
          <cell r="B1393" t="str">
            <v>904</v>
          </cell>
          <cell r="C1393" t="str">
            <v>09</v>
          </cell>
          <cell r="D1393" t="str">
            <v>02</v>
          </cell>
          <cell r="E1393" t="str">
            <v>520 18 00</v>
          </cell>
          <cell r="F1393" t="str">
            <v>001</v>
          </cell>
        </row>
        <row r="1394">
          <cell r="A1394" t="str">
            <v>Оплата труда и начисления на оплату труда</v>
          </cell>
          <cell r="B1394" t="str">
            <v>904</v>
          </cell>
          <cell r="C1394" t="str">
            <v>09</v>
          </cell>
          <cell r="D1394" t="str">
            <v>02</v>
          </cell>
          <cell r="E1394" t="str">
            <v>520 18 00</v>
          </cell>
          <cell r="F1394" t="str">
            <v>001</v>
          </cell>
        </row>
        <row r="1395">
          <cell r="A1395" t="str">
            <v>Заработная плата</v>
          </cell>
          <cell r="B1395" t="str">
            <v>904</v>
          </cell>
          <cell r="C1395" t="str">
            <v>09</v>
          </cell>
          <cell r="D1395" t="str">
            <v>02</v>
          </cell>
          <cell r="E1395" t="str">
            <v>520 18 00</v>
          </cell>
          <cell r="F1395" t="str">
            <v>001</v>
          </cell>
        </row>
        <row r="1396">
          <cell r="A1396" t="str">
            <v>Начисление на оплату труда</v>
          </cell>
          <cell r="B1396" t="str">
            <v>904</v>
          </cell>
          <cell r="C1396" t="str">
            <v>09</v>
          </cell>
          <cell r="D1396" t="str">
            <v>02</v>
          </cell>
          <cell r="E1396" t="str">
            <v>520 18 00</v>
          </cell>
          <cell r="F1396" t="str">
            <v>001</v>
          </cell>
        </row>
        <row r="1397">
          <cell r="A1397" t="str">
            <v>Субсидии некоммерческим организациям</v>
          </cell>
          <cell r="B1397" t="str">
            <v>904</v>
          </cell>
          <cell r="C1397" t="str">
            <v>09</v>
          </cell>
          <cell r="D1397" t="str">
            <v>02</v>
          </cell>
          <cell r="E1397" t="str">
            <v>520 18 00</v>
          </cell>
          <cell r="F1397" t="str">
            <v>019</v>
          </cell>
        </row>
        <row r="1398">
          <cell r="A1398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398" t="str">
            <v>904</v>
          </cell>
          <cell r="C1398" t="str">
            <v>09</v>
          </cell>
          <cell r="D1398" t="str">
            <v>02</v>
          </cell>
          <cell r="E1398" t="str">
            <v>590 00 00</v>
          </cell>
          <cell r="F1398" t="str">
            <v>000</v>
          </cell>
        </row>
        <row r="1399">
          <cell r="A1399" t="str">
            <v>Выполнение функций бюджетными учреждениями</v>
          </cell>
          <cell r="B1399" t="str">
            <v>904</v>
          </cell>
          <cell r="C1399" t="str">
            <v>09</v>
          </cell>
          <cell r="D1399" t="str">
            <v>02</v>
          </cell>
          <cell r="E1399" t="str">
            <v>590 00 00</v>
          </cell>
          <cell r="F1399" t="str">
            <v>001</v>
          </cell>
        </row>
        <row r="1400">
          <cell r="A1400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1400" t="str">
            <v>904</v>
          </cell>
          <cell r="C1400" t="str">
            <v>09</v>
          </cell>
          <cell r="D1400" t="str">
            <v>02</v>
          </cell>
          <cell r="E1400" t="str">
            <v>594 00 00</v>
          </cell>
          <cell r="F1400" t="str">
            <v>000</v>
          </cell>
        </row>
        <row r="1401">
          <cell r="A1401" t="str">
            <v>Субсидии некоммерческим организациям</v>
          </cell>
          <cell r="B1401" t="str">
            <v>904</v>
          </cell>
          <cell r="C1401" t="str">
            <v>09</v>
          </cell>
          <cell r="D1401" t="str">
            <v>02</v>
          </cell>
          <cell r="E1401" t="str">
            <v>594 00 00</v>
          </cell>
          <cell r="F1401" t="str">
            <v>019</v>
          </cell>
        </row>
        <row r="1402">
          <cell r="A1402" t="str">
            <v>Медицинская помощь в дневных стационарах всех типов</v>
          </cell>
          <cell r="B1402" t="str">
            <v>904</v>
          </cell>
          <cell r="C1402" t="str">
            <v>09</v>
          </cell>
          <cell r="D1402" t="str">
            <v>03</v>
          </cell>
          <cell r="E1402" t="str">
            <v>000 00 00</v>
          </cell>
          <cell r="F1402" t="str">
            <v>000</v>
          </cell>
        </row>
        <row r="1403">
          <cell r="A1403" t="str">
            <v>Больницы, клиники, госпитали, медико-санитарные части</v>
          </cell>
          <cell r="B1403" t="str">
            <v>904</v>
          </cell>
          <cell r="C1403" t="str">
            <v>09</v>
          </cell>
          <cell r="D1403" t="str">
            <v>03</v>
          </cell>
          <cell r="E1403" t="str">
            <v>002 00 00</v>
          </cell>
          <cell r="F1403" t="str">
            <v>000</v>
          </cell>
        </row>
        <row r="1404">
          <cell r="A1404" t="str">
            <v>Осуществление отдельных областных государственных полномочий в области охраны здоровья граждан</v>
          </cell>
          <cell r="B1404" t="str">
            <v>904</v>
          </cell>
          <cell r="C1404" t="str">
            <v>09</v>
          </cell>
          <cell r="D1404" t="str">
            <v>03</v>
          </cell>
          <cell r="E1404" t="str">
            <v>002 52 00</v>
          </cell>
          <cell r="F1404" t="str">
            <v>000</v>
          </cell>
        </row>
        <row r="1405">
          <cell r="A1405" t="str">
            <v>Выполнение функций бюджетными учреждениями</v>
          </cell>
          <cell r="B1405" t="str">
            <v>904</v>
          </cell>
          <cell r="C1405" t="str">
            <v>09</v>
          </cell>
          <cell r="D1405" t="str">
            <v>03</v>
          </cell>
          <cell r="E1405" t="str">
            <v>002 52 00</v>
          </cell>
          <cell r="F1405" t="str">
            <v>001</v>
          </cell>
        </row>
        <row r="1406">
          <cell r="A1406" t="str">
            <v>Субсидии некоммерческим организациям</v>
          </cell>
          <cell r="B1406" t="str">
            <v>904</v>
          </cell>
          <cell r="C1406" t="str">
            <v>09</v>
          </cell>
          <cell r="D1406" t="str">
            <v>03</v>
          </cell>
          <cell r="E1406" t="str">
            <v>002 52 00</v>
          </cell>
          <cell r="F1406" t="str">
            <v>019</v>
          </cell>
        </row>
        <row r="1407">
          <cell r="A1407" t="str">
            <v>Больницы, клиники, госпитали, медико-санитарные части</v>
          </cell>
          <cell r="B1407" t="str">
            <v>904</v>
          </cell>
          <cell r="C1407" t="str">
            <v>09</v>
          </cell>
          <cell r="D1407" t="str">
            <v>03</v>
          </cell>
          <cell r="E1407" t="str">
            <v>470 00 00</v>
          </cell>
          <cell r="F1407" t="str">
            <v>000</v>
          </cell>
        </row>
        <row r="1408">
          <cell r="A1408" t="str">
            <v>Обеспечение деятельности подведомственных учреждений</v>
          </cell>
          <cell r="B1408" t="str">
            <v>904</v>
          </cell>
          <cell r="C1408" t="str">
            <v>09</v>
          </cell>
          <cell r="D1408" t="str">
            <v>03</v>
          </cell>
          <cell r="E1408" t="str">
            <v>470 99 00</v>
          </cell>
          <cell r="F1408" t="str">
            <v>000</v>
          </cell>
        </row>
        <row r="1409">
          <cell r="A1409" t="str">
            <v>Выполнение функций бюджетными учреждениями</v>
          </cell>
          <cell r="B1409" t="str">
            <v>904</v>
          </cell>
          <cell r="C1409" t="str">
            <v>09</v>
          </cell>
          <cell r="D1409" t="str">
            <v>03</v>
          </cell>
          <cell r="E1409" t="str">
            <v>470 99 00</v>
          </cell>
          <cell r="F1409" t="str">
            <v>001</v>
          </cell>
        </row>
        <row r="1410">
          <cell r="A1410" t="str">
            <v>Расходы</v>
          </cell>
          <cell r="B1410" t="str">
            <v>904</v>
          </cell>
          <cell r="C1410" t="str">
            <v>09</v>
          </cell>
          <cell r="D1410" t="str">
            <v>03</v>
          </cell>
          <cell r="E1410" t="str">
            <v>470 99 00</v>
          </cell>
          <cell r="F1410" t="str">
            <v>001</v>
          </cell>
        </row>
        <row r="1411">
          <cell r="A1411" t="str">
            <v>Оплата труда и начисления на оплату труда</v>
          </cell>
          <cell r="B1411" t="str">
            <v>904</v>
          </cell>
          <cell r="C1411" t="str">
            <v>09</v>
          </cell>
          <cell r="D1411" t="str">
            <v>03</v>
          </cell>
          <cell r="E1411" t="str">
            <v>470 99 00</v>
          </cell>
          <cell r="F1411" t="str">
            <v>001</v>
          </cell>
        </row>
        <row r="1412">
          <cell r="A1412" t="str">
            <v>Заработная плата</v>
          </cell>
          <cell r="B1412" t="str">
            <v>904</v>
          </cell>
          <cell r="C1412" t="str">
            <v>09</v>
          </cell>
          <cell r="D1412" t="str">
            <v>03</v>
          </cell>
          <cell r="E1412" t="str">
            <v>470 99 00</v>
          </cell>
          <cell r="F1412" t="str">
            <v>001</v>
          </cell>
        </row>
        <row r="1413">
          <cell r="A1413" t="str">
            <v>Прочие выплаты</v>
          </cell>
          <cell r="B1413" t="str">
            <v>904</v>
          </cell>
          <cell r="C1413" t="str">
            <v>09</v>
          </cell>
          <cell r="D1413" t="str">
            <v>03</v>
          </cell>
          <cell r="E1413" t="str">
            <v>470 99 00</v>
          </cell>
          <cell r="F1413" t="str">
            <v>001</v>
          </cell>
        </row>
        <row r="1414">
          <cell r="A1414" t="str">
            <v>Начисление на оплату труда</v>
          </cell>
          <cell r="B1414" t="str">
            <v>904</v>
          </cell>
          <cell r="C1414" t="str">
            <v>09</v>
          </cell>
          <cell r="D1414" t="str">
            <v>03</v>
          </cell>
          <cell r="E1414" t="str">
            <v>470 99 00</v>
          </cell>
          <cell r="F1414" t="str">
            <v>001</v>
          </cell>
        </row>
        <row r="1415">
          <cell r="A1415" t="str">
            <v>Приобретение услуг</v>
          </cell>
          <cell r="B1415" t="str">
            <v>904</v>
          </cell>
          <cell r="C1415" t="str">
            <v>09</v>
          </cell>
          <cell r="D1415" t="str">
            <v>03</v>
          </cell>
          <cell r="E1415" t="str">
            <v>470 99 00</v>
          </cell>
          <cell r="F1415" t="str">
            <v>001</v>
          </cell>
        </row>
        <row r="1416">
          <cell r="A1416" t="str">
            <v>Услуги связи </v>
          </cell>
          <cell r="B1416" t="str">
            <v>904</v>
          </cell>
          <cell r="C1416" t="str">
            <v>09</v>
          </cell>
          <cell r="D1416" t="str">
            <v>03</v>
          </cell>
          <cell r="E1416" t="str">
            <v>470 99 00</v>
          </cell>
          <cell r="F1416" t="str">
            <v>001</v>
          </cell>
        </row>
        <row r="1417">
          <cell r="A1417" t="str">
            <v>Транспортные услуги</v>
          </cell>
          <cell r="B1417" t="str">
            <v>904</v>
          </cell>
          <cell r="C1417" t="str">
            <v>09</v>
          </cell>
          <cell r="D1417" t="str">
            <v>03</v>
          </cell>
          <cell r="E1417" t="str">
            <v>470 99 00</v>
          </cell>
          <cell r="F1417" t="str">
            <v>001</v>
          </cell>
        </row>
        <row r="1418">
          <cell r="A1418" t="str">
            <v>Коммунальные услуги</v>
          </cell>
          <cell r="B1418" t="str">
            <v>904</v>
          </cell>
          <cell r="C1418" t="str">
            <v>09</v>
          </cell>
          <cell r="D1418" t="str">
            <v>03</v>
          </cell>
          <cell r="E1418" t="str">
            <v>470 99 00</v>
          </cell>
          <cell r="F1418" t="str">
            <v>001</v>
          </cell>
        </row>
        <row r="1419">
          <cell r="A1419" t="str">
            <v>Арендная плата за пользование иммуществом </v>
          </cell>
          <cell r="B1419" t="str">
            <v>904</v>
          </cell>
          <cell r="C1419" t="str">
            <v>09</v>
          </cell>
          <cell r="D1419" t="str">
            <v>03</v>
          </cell>
          <cell r="E1419" t="str">
            <v>470 99 00</v>
          </cell>
          <cell r="F1419" t="str">
            <v>001</v>
          </cell>
        </row>
        <row r="1420">
          <cell r="A1420" t="str">
            <v>Услуги по содержанию иммущества</v>
          </cell>
          <cell r="B1420" t="str">
            <v>904</v>
          </cell>
          <cell r="C1420" t="str">
            <v>09</v>
          </cell>
          <cell r="D1420" t="str">
            <v>03</v>
          </cell>
          <cell r="E1420" t="str">
            <v>470 99 00</v>
          </cell>
          <cell r="F1420" t="str">
            <v>001</v>
          </cell>
        </row>
        <row r="1421">
          <cell r="A1421" t="str">
            <v>Прочие услуги</v>
          </cell>
          <cell r="B1421" t="str">
            <v>904</v>
          </cell>
          <cell r="C1421" t="str">
            <v>09</v>
          </cell>
          <cell r="D1421" t="str">
            <v>03</v>
          </cell>
          <cell r="E1421" t="str">
            <v>470 99 00</v>
          </cell>
          <cell r="F1421" t="str">
            <v>001</v>
          </cell>
        </row>
        <row r="1422">
          <cell r="A1422" t="str">
            <v>Прочие расходы </v>
          </cell>
          <cell r="B1422" t="str">
            <v>904</v>
          </cell>
          <cell r="C1422" t="str">
            <v>09</v>
          </cell>
          <cell r="D1422" t="str">
            <v>03</v>
          </cell>
          <cell r="E1422" t="str">
            <v>470 99 00</v>
          </cell>
          <cell r="F1422" t="str">
            <v>001</v>
          </cell>
        </row>
        <row r="1423">
          <cell r="A1423" t="str">
            <v>Поступление нефинансовых активов</v>
          </cell>
          <cell r="B1423" t="str">
            <v>904</v>
          </cell>
          <cell r="C1423" t="str">
            <v>09</v>
          </cell>
          <cell r="D1423" t="str">
            <v>03</v>
          </cell>
          <cell r="E1423" t="str">
            <v>470 99 00</v>
          </cell>
          <cell r="F1423" t="str">
            <v>001</v>
          </cell>
        </row>
        <row r="1424">
          <cell r="A1424" t="str">
            <v>Увеличение стоимости основных средств</v>
          </cell>
          <cell r="B1424" t="str">
            <v>904</v>
          </cell>
          <cell r="C1424" t="str">
            <v>09</v>
          </cell>
          <cell r="D1424" t="str">
            <v>03</v>
          </cell>
          <cell r="E1424" t="str">
            <v>470 99 00</v>
          </cell>
          <cell r="F1424" t="str">
            <v>001</v>
          </cell>
        </row>
        <row r="1425">
          <cell r="A1425" t="str">
            <v>Увеличение стоимости материальных запасов</v>
          </cell>
          <cell r="B1425" t="str">
            <v>904</v>
          </cell>
          <cell r="C1425" t="str">
            <v>09</v>
          </cell>
          <cell r="D1425" t="str">
            <v>03</v>
          </cell>
          <cell r="E1425" t="str">
            <v>470 99 00</v>
          </cell>
          <cell r="F1425" t="str">
            <v>001</v>
          </cell>
        </row>
        <row r="1426">
          <cell r="A1426" t="str">
            <v>Субсидии некоммерческим организациям</v>
          </cell>
          <cell r="B1426" t="str">
            <v>904</v>
          </cell>
          <cell r="C1426" t="str">
            <v>09</v>
          </cell>
          <cell r="D1426" t="str">
            <v>03</v>
          </cell>
          <cell r="E1426" t="str">
            <v>470 99 00</v>
          </cell>
          <cell r="F1426" t="str">
            <v>019</v>
          </cell>
        </row>
        <row r="1427">
          <cell r="A1427" t="str">
            <v>Поликлиники, амбулатории, диагностические центры</v>
          </cell>
          <cell r="B1427" t="str">
            <v>904</v>
          </cell>
          <cell r="C1427" t="str">
            <v>09</v>
          </cell>
          <cell r="D1427" t="str">
            <v>03</v>
          </cell>
          <cell r="E1427" t="str">
            <v>002 00 00</v>
          </cell>
          <cell r="F1427" t="str">
            <v>000</v>
          </cell>
        </row>
        <row r="1428">
          <cell r="A1428" t="str">
            <v>Осуществление отдельных областных государственных полномочий в области охраны здоровья граждан</v>
          </cell>
          <cell r="B1428" t="str">
            <v>904</v>
          </cell>
          <cell r="C1428" t="str">
            <v>09</v>
          </cell>
          <cell r="D1428" t="str">
            <v>03</v>
          </cell>
          <cell r="E1428" t="str">
            <v>002 52 00</v>
          </cell>
          <cell r="F1428" t="str">
            <v>000</v>
          </cell>
        </row>
        <row r="1429">
          <cell r="A1429" t="str">
            <v>Выполнение функций бюджетными учреждениями</v>
          </cell>
          <cell r="B1429" t="str">
            <v>904</v>
          </cell>
          <cell r="C1429" t="str">
            <v>09</v>
          </cell>
          <cell r="D1429" t="str">
            <v>03</v>
          </cell>
          <cell r="E1429" t="str">
            <v>002 52 00</v>
          </cell>
          <cell r="F1429" t="str">
            <v>001</v>
          </cell>
        </row>
        <row r="1430">
          <cell r="A1430" t="str">
            <v>Субсидии некоммерческим организациям</v>
          </cell>
          <cell r="B1430" t="str">
            <v>904</v>
          </cell>
          <cell r="C1430" t="str">
            <v>09</v>
          </cell>
          <cell r="D1430" t="str">
            <v>03</v>
          </cell>
          <cell r="E1430" t="str">
            <v>002 52 00</v>
          </cell>
          <cell r="F1430" t="str">
            <v>019</v>
          </cell>
        </row>
        <row r="1431">
          <cell r="A1431" t="str">
            <v>Поликлиники, амбулатории, диагностические центры</v>
          </cell>
          <cell r="B1431" t="str">
            <v>904</v>
          </cell>
          <cell r="C1431" t="str">
            <v>09</v>
          </cell>
          <cell r="D1431" t="str">
            <v>03</v>
          </cell>
          <cell r="E1431" t="str">
            <v>471 00 00</v>
          </cell>
          <cell r="F1431" t="str">
            <v>000</v>
          </cell>
        </row>
        <row r="1432">
          <cell r="A1432" t="str">
            <v>Обеспечение деятельности подведомственных учреждений</v>
          </cell>
          <cell r="B1432" t="str">
            <v>904</v>
          </cell>
          <cell r="C1432" t="str">
            <v>09</v>
          </cell>
          <cell r="D1432" t="str">
            <v>03</v>
          </cell>
          <cell r="E1432" t="str">
            <v>471 99 00</v>
          </cell>
          <cell r="F1432" t="str">
            <v>000</v>
          </cell>
        </row>
        <row r="1433">
          <cell r="A1433" t="str">
            <v>Субсидии некоммерческим организациям</v>
          </cell>
          <cell r="B1433" t="str">
            <v>904</v>
          </cell>
          <cell r="C1433" t="str">
            <v>09</v>
          </cell>
          <cell r="D1433" t="str">
            <v>03</v>
          </cell>
          <cell r="E1433" t="str">
            <v>471 99 00</v>
          </cell>
          <cell r="F1433" t="str">
            <v>019</v>
          </cell>
        </row>
        <row r="1434">
          <cell r="A1434" t="str">
            <v>Расходы</v>
          </cell>
          <cell r="B1434" t="str">
            <v>904</v>
          </cell>
          <cell r="C1434" t="str">
            <v>09</v>
          </cell>
          <cell r="D1434" t="str">
            <v>03</v>
          </cell>
          <cell r="E1434" t="str">
            <v>471 99 00</v>
          </cell>
          <cell r="F1434" t="str">
            <v>001</v>
          </cell>
        </row>
        <row r="1435">
          <cell r="A1435" t="str">
            <v>Оплата труда и начисления на оплату труда</v>
          </cell>
          <cell r="B1435" t="str">
            <v>904</v>
          </cell>
          <cell r="C1435" t="str">
            <v>09</v>
          </cell>
          <cell r="D1435" t="str">
            <v>03</v>
          </cell>
          <cell r="E1435" t="str">
            <v>471 99 00</v>
          </cell>
          <cell r="F1435" t="str">
            <v>001</v>
          </cell>
        </row>
        <row r="1436">
          <cell r="A1436" t="str">
            <v>Заработная плата</v>
          </cell>
          <cell r="B1436" t="str">
            <v>904</v>
          </cell>
          <cell r="C1436" t="str">
            <v>09</v>
          </cell>
          <cell r="D1436" t="str">
            <v>03</v>
          </cell>
          <cell r="E1436" t="str">
            <v>471 99 00</v>
          </cell>
          <cell r="F1436" t="str">
            <v>001</v>
          </cell>
        </row>
        <row r="1437">
          <cell r="A1437" t="str">
            <v>Прочие выплаты</v>
          </cell>
          <cell r="B1437" t="str">
            <v>904</v>
          </cell>
          <cell r="C1437" t="str">
            <v>09</v>
          </cell>
          <cell r="D1437" t="str">
            <v>03</v>
          </cell>
          <cell r="E1437" t="str">
            <v>471 99 00</v>
          </cell>
          <cell r="F1437" t="str">
            <v>001</v>
          </cell>
        </row>
        <row r="1438">
          <cell r="A1438" t="str">
            <v>Начисление на оплату труда</v>
          </cell>
          <cell r="B1438" t="str">
            <v>904</v>
          </cell>
          <cell r="C1438" t="str">
            <v>09</v>
          </cell>
          <cell r="D1438" t="str">
            <v>03</v>
          </cell>
          <cell r="E1438" t="str">
            <v>471 99 00</v>
          </cell>
          <cell r="F1438" t="str">
            <v>001</v>
          </cell>
        </row>
        <row r="1439">
          <cell r="A1439" t="str">
            <v>Приобретение услуг</v>
          </cell>
          <cell r="B1439" t="str">
            <v>904</v>
          </cell>
          <cell r="C1439" t="str">
            <v>09</v>
          </cell>
          <cell r="D1439" t="str">
            <v>03</v>
          </cell>
          <cell r="E1439" t="str">
            <v>471 99 00</v>
          </cell>
          <cell r="F1439" t="str">
            <v>001</v>
          </cell>
        </row>
        <row r="1440">
          <cell r="A1440" t="str">
            <v>Услуги связи </v>
          </cell>
          <cell r="B1440" t="str">
            <v>904</v>
          </cell>
          <cell r="C1440" t="str">
            <v>09</v>
          </cell>
          <cell r="D1440" t="str">
            <v>03</v>
          </cell>
          <cell r="E1440" t="str">
            <v>471 99 00</v>
          </cell>
          <cell r="F1440" t="str">
            <v>001</v>
          </cell>
        </row>
        <row r="1441">
          <cell r="A1441" t="str">
            <v>Транспортные услуги</v>
          </cell>
          <cell r="B1441" t="str">
            <v>904</v>
          </cell>
          <cell r="C1441" t="str">
            <v>09</v>
          </cell>
          <cell r="D1441" t="str">
            <v>03</v>
          </cell>
          <cell r="E1441" t="str">
            <v>471 99 00</v>
          </cell>
          <cell r="F1441" t="str">
            <v>001</v>
          </cell>
        </row>
        <row r="1442">
          <cell r="A1442" t="str">
            <v>Коммунальные услуги</v>
          </cell>
          <cell r="B1442" t="str">
            <v>904</v>
          </cell>
          <cell r="C1442" t="str">
            <v>09</v>
          </cell>
          <cell r="D1442" t="str">
            <v>03</v>
          </cell>
          <cell r="E1442" t="str">
            <v>471 99 00</v>
          </cell>
          <cell r="F1442" t="str">
            <v>001</v>
          </cell>
        </row>
        <row r="1443">
          <cell r="A1443" t="str">
            <v>Арендная плата за пользование иммуществом </v>
          </cell>
          <cell r="B1443" t="str">
            <v>904</v>
          </cell>
          <cell r="C1443" t="str">
            <v>09</v>
          </cell>
          <cell r="D1443" t="str">
            <v>03</v>
          </cell>
          <cell r="E1443" t="str">
            <v>471 99 00</v>
          </cell>
          <cell r="F1443" t="str">
            <v>001</v>
          </cell>
        </row>
        <row r="1444">
          <cell r="A1444" t="str">
            <v>Услуги по содержанию иммущества</v>
          </cell>
          <cell r="B1444" t="str">
            <v>904</v>
          </cell>
          <cell r="C1444" t="str">
            <v>09</v>
          </cell>
          <cell r="D1444" t="str">
            <v>03</v>
          </cell>
          <cell r="E1444" t="str">
            <v>471 99 00</v>
          </cell>
          <cell r="F1444" t="str">
            <v>001</v>
          </cell>
        </row>
        <row r="1445">
          <cell r="A1445" t="str">
            <v>Прочие услуги</v>
          </cell>
          <cell r="B1445" t="str">
            <v>904</v>
          </cell>
          <cell r="C1445" t="str">
            <v>09</v>
          </cell>
          <cell r="D1445" t="str">
            <v>03</v>
          </cell>
          <cell r="E1445" t="str">
            <v>471 99 00</v>
          </cell>
          <cell r="F1445" t="str">
            <v>001</v>
          </cell>
        </row>
        <row r="1446">
          <cell r="A1446" t="str">
            <v>Прочие расходы </v>
          </cell>
          <cell r="B1446" t="str">
            <v>904</v>
          </cell>
          <cell r="C1446" t="str">
            <v>09</v>
          </cell>
          <cell r="D1446" t="str">
            <v>03</v>
          </cell>
          <cell r="E1446" t="str">
            <v>471 99 00</v>
          </cell>
          <cell r="F1446" t="str">
            <v>001</v>
          </cell>
        </row>
        <row r="1447">
          <cell r="A1447" t="str">
            <v>Поступление нефинансовых активов</v>
          </cell>
          <cell r="B1447" t="str">
            <v>904</v>
          </cell>
          <cell r="C1447" t="str">
            <v>09</v>
          </cell>
          <cell r="D1447" t="str">
            <v>03</v>
          </cell>
          <cell r="E1447" t="str">
            <v>471 99 00</v>
          </cell>
          <cell r="F1447" t="str">
            <v>001</v>
          </cell>
        </row>
        <row r="1448">
          <cell r="A1448" t="str">
            <v>Увеличение стоимости основных средств</v>
          </cell>
          <cell r="B1448" t="str">
            <v>904</v>
          </cell>
          <cell r="C1448" t="str">
            <v>09</v>
          </cell>
          <cell r="D1448" t="str">
            <v>03</v>
          </cell>
          <cell r="E1448" t="str">
            <v>471 99 00</v>
          </cell>
          <cell r="F1448" t="str">
            <v>001</v>
          </cell>
        </row>
        <row r="1449">
          <cell r="A1449" t="str">
            <v>Увеличение стоимости материальных запасов</v>
          </cell>
          <cell r="B1449" t="str">
            <v>904</v>
          </cell>
          <cell r="C1449" t="str">
            <v>09</v>
          </cell>
          <cell r="D1449" t="str">
            <v>03</v>
          </cell>
          <cell r="E1449" t="str">
            <v>471 99 00</v>
          </cell>
          <cell r="F1449" t="str">
            <v>001</v>
          </cell>
        </row>
        <row r="1450">
          <cell r="A1450" t="str">
            <v>Скорая медицинская помощь</v>
          </cell>
          <cell r="B1450" t="str">
            <v>904</v>
          </cell>
          <cell r="C1450" t="str">
            <v>09</v>
          </cell>
          <cell r="D1450" t="str">
            <v>04</v>
          </cell>
          <cell r="E1450" t="str">
            <v>000 00 00</v>
          </cell>
          <cell r="F1450" t="str">
            <v>000</v>
          </cell>
        </row>
        <row r="1451">
          <cell r="A1451" t="str">
            <v>Больницы, клиники, госпитали, медико- санитарные части </v>
          </cell>
          <cell r="B1451" t="str">
            <v>904</v>
          </cell>
          <cell r="C1451" t="str">
            <v>09</v>
          </cell>
          <cell r="D1451" t="str">
            <v>04</v>
          </cell>
          <cell r="E1451" t="str">
            <v>002 00 00</v>
          </cell>
          <cell r="F1451" t="str">
            <v>000</v>
          </cell>
        </row>
        <row r="1452">
          <cell r="A1452" t="str">
            <v>Осуществление отдельных областных государственных полномочий в области охраны здоровья граждан</v>
          </cell>
          <cell r="B1452" t="str">
            <v>904</v>
          </cell>
          <cell r="C1452" t="str">
            <v>09</v>
          </cell>
          <cell r="D1452" t="str">
            <v>04</v>
          </cell>
          <cell r="E1452" t="str">
            <v>002 52 00</v>
          </cell>
          <cell r="F1452" t="str">
            <v>000</v>
          </cell>
        </row>
        <row r="1453">
          <cell r="A1453" t="str">
            <v>Выполнение функций бюджетными учреждениями</v>
          </cell>
          <cell r="B1453" t="str">
            <v>904</v>
          </cell>
          <cell r="C1453" t="str">
            <v>09</v>
          </cell>
          <cell r="D1453" t="str">
            <v>04</v>
          </cell>
          <cell r="E1453" t="str">
            <v>002 52 00</v>
          </cell>
          <cell r="F1453" t="str">
            <v>001</v>
          </cell>
        </row>
        <row r="1454">
          <cell r="A1454" t="str">
            <v>Субсидии некоммерческим организациям</v>
          </cell>
          <cell r="B1454" t="str">
            <v>904</v>
          </cell>
          <cell r="C1454" t="str">
            <v>09</v>
          </cell>
          <cell r="D1454" t="str">
            <v>04</v>
          </cell>
          <cell r="E1454" t="str">
            <v>002 52 00</v>
          </cell>
          <cell r="F1454" t="str">
            <v>019</v>
          </cell>
        </row>
        <row r="1455">
          <cell r="A1455" t="str">
            <v>Больницы, клиники, госпитали, медико- санитарные части </v>
          </cell>
          <cell r="B1455" t="str">
            <v>904</v>
          </cell>
          <cell r="C1455" t="str">
            <v>09</v>
          </cell>
          <cell r="D1455" t="str">
            <v>04</v>
          </cell>
          <cell r="E1455" t="str">
            <v>470 00 00</v>
          </cell>
          <cell r="F1455" t="str">
            <v>000</v>
          </cell>
        </row>
        <row r="1456">
          <cell r="A1456" t="str">
            <v>Обеспечение деятельности подведомственных учреждений</v>
          </cell>
          <cell r="B1456" t="str">
            <v>904</v>
          </cell>
          <cell r="C1456" t="str">
            <v>09</v>
          </cell>
          <cell r="D1456" t="str">
            <v>04</v>
          </cell>
          <cell r="E1456" t="str">
            <v>470 99 00</v>
          </cell>
          <cell r="F1456" t="str">
            <v>000</v>
          </cell>
        </row>
        <row r="1457">
          <cell r="A1457" t="str">
            <v>Выполнение функций бюджетными учреждениями</v>
          </cell>
          <cell r="B1457" t="str">
            <v>904</v>
          </cell>
          <cell r="C1457" t="str">
            <v>09</v>
          </cell>
          <cell r="D1457" t="str">
            <v>04</v>
          </cell>
          <cell r="E1457" t="str">
            <v>470 99 00</v>
          </cell>
          <cell r="F1457" t="str">
            <v>001</v>
          </cell>
        </row>
        <row r="1458">
          <cell r="A1458" t="str">
            <v>Расходы</v>
          </cell>
          <cell r="B1458" t="str">
            <v>904</v>
          </cell>
          <cell r="C1458" t="str">
            <v>09</v>
          </cell>
          <cell r="D1458" t="str">
            <v>04</v>
          </cell>
          <cell r="E1458" t="str">
            <v>470 99 00</v>
          </cell>
          <cell r="F1458" t="str">
            <v>001</v>
          </cell>
        </row>
        <row r="1459">
          <cell r="A1459" t="str">
            <v>Оплата труда и начисления на оплату труда</v>
          </cell>
          <cell r="B1459" t="str">
            <v>904</v>
          </cell>
          <cell r="C1459" t="str">
            <v>09</v>
          </cell>
          <cell r="D1459" t="str">
            <v>04</v>
          </cell>
          <cell r="E1459" t="str">
            <v>470 99 00</v>
          </cell>
          <cell r="F1459" t="str">
            <v>001</v>
          </cell>
        </row>
        <row r="1460">
          <cell r="A1460" t="str">
            <v>Заработная плата</v>
          </cell>
          <cell r="B1460" t="str">
            <v>904</v>
          </cell>
          <cell r="C1460" t="str">
            <v>09</v>
          </cell>
          <cell r="D1460" t="str">
            <v>04</v>
          </cell>
          <cell r="E1460" t="str">
            <v>470 99 00</v>
          </cell>
          <cell r="F1460" t="str">
            <v>001</v>
          </cell>
        </row>
        <row r="1461">
          <cell r="A1461" t="str">
            <v>Прочие выплаты</v>
          </cell>
          <cell r="B1461" t="str">
            <v>904</v>
          </cell>
          <cell r="C1461" t="str">
            <v>09</v>
          </cell>
          <cell r="D1461" t="str">
            <v>04</v>
          </cell>
          <cell r="E1461" t="str">
            <v>470 99 00</v>
          </cell>
          <cell r="F1461" t="str">
            <v>001</v>
          </cell>
        </row>
        <row r="1462">
          <cell r="A1462" t="str">
            <v>Начисление на оплату труда</v>
          </cell>
          <cell r="B1462" t="str">
            <v>904</v>
          </cell>
          <cell r="C1462" t="str">
            <v>09</v>
          </cell>
          <cell r="D1462" t="str">
            <v>04</v>
          </cell>
          <cell r="E1462" t="str">
            <v>470 99 00</v>
          </cell>
          <cell r="F1462" t="str">
            <v>001</v>
          </cell>
        </row>
        <row r="1463">
          <cell r="A1463" t="str">
            <v>Приобретение услуг</v>
          </cell>
          <cell r="B1463" t="str">
            <v>904</v>
          </cell>
          <cell r="C1463" t="str">
            <v>09</v>
          </cell>
          <cell r="D1463" t="str">
            <v>04</v>
          </cell>
          <cell r="E1463" t="str">
            <v>470 99 00</v>
          </cell>
          <cell r="F1463" t="str">
            <v>001</v>
          </cell>
        </row>
        <row r="1464">
          <cell r="A1464" t="str">
            <v>Услуги связи </v>
          </cell>
          <cell r="B1464" t="str">
            <v>904</v>
          </cell>
          <cell r="C1464" t="str">
            <v>09</v>
          </cell>
          <cell r="D1464" t="str">
            <v>04</v>
          </cell>
          <cell r="E1464" t="str">
            <v>470 99 00</v>
          </cell>
          <cell r="F1464" t="str">
            <v>001</v>
          </cell>
        </row>
        <row r="1465">
          <cell r="A1465" t="str">
            <v>Транспортные услуги</v>
          </cell>
          <cell r="B1465" t="str">
            <v>904</v>
          </cell>
          <cell r="C1465" t="str">
            <v>09</v>
          </cell>
          <cell r="D1465" t="str">
            <v>04</v>
          </cell>
          <cell r="E1465" t="str">
            <v>470 99 00</v>
          </cell>
          <cell r="F1465" t="str">
            <v>001</v>
          </cell>
        </row>
        <row r="1466">
          <cell r="A1466" t="str">
            <v>Коммунальные услуги</v>
          </cell>
          <cell r="B1466" t="str">
            <v>904</v>
          </cell>
          <cell r="C1466" t="str">
            <v>09</v>
          </cell>
          <cell r="D1466" t="str">
            <v>04</v>
          </cell>
          <cell r="E1466" t="str">
            <v>470 99 00</v>
          </cell>
          <cell r="F1466" t="str">
            <v>001</v>
          </cell>
        </row>
        <row r="1467">
          <cell r="A1467" t="str">
            <v>Арендная плата за пользование иммуществом </v>
          </cell>
          <cell r="B1467" t="str">
            <v>904</v>
          </cell>
          <cell r="C1467" t="str">
            <v>09</v>
          </cell>
          <cell r="D1467" t="str">
            <v>04</v>
          </cell>
          <cell r="E1467" t="str">
            <v>470 99 00</v>
          </cell>
          <cell r="F1467" t="str">
            <v>001</v>
          </cell>
        </row>
        <row r="1468">
          <cell r="A1468" t="str">
            <v>Услуги по содержанию иммущества</v>
          </cell>
          <cell r="B1468" t="str">
            <v>904</v>
          </cell>
          <cell r="C1468" t="str">
            <v>09</v>
          </cell>
          <cell r="D1468" t="str">
            <v>04</v>
          </cell>
          <cell r="E1468" t="str">
            <v>470 99 00</v>
          </cell>
          <cell r="F1468" t="str">
            <v>001</v>
          </cell>
        </row>
        <row r="1469">
          <cell r="A1469" t="str">
            <v>Прочие услуги</v>
          </cell>
          <cell r="B1469" t="str">
            <v>904</v>
          </cell>
          <cell r="C1469" t="str">
            <v>09</v>
          </cell>
          <cell r="D1469" t="str">
            <v>04</v>
          </cell>
          <cell r="E1469" t="str">
            <v>470 99 00</v>
          </cell>
          <cell r="F1469" t="str">
            <v>001</v>
          </cell>
        </row>
        <row r="1470">
          <cell r="A1470" t="str">
            <v>Прочие расходы </v>
          </cell>
          <cell r="B1470" t="str">
            <v>904</v>
          </cell>
          <cell r="C1470" t="str">
            <v>09</v>
          </cell>
          <cell r="D1470" t="str">
            <v>04</v>
          </cell>
          <cell r="E1470" t="str">
            <v>470 99 00</v>
          </cell>
          <cell r="F1470" t="str">
            <v>001</v>
          </cell>
        </row>
        <row r="1471">
          <cell r="A1471" t="str">
            <v>Поступление нефинансовых активов</v>
          </cell>
          <cell r="B1471" t="str">
            <v>904</v>
          </cell>
          <cell r="C1471" t="str">
            <v>09</v>
          </cell>
          <cell r="D1471" t="str">
            <v>04</v>
          </cell>
          <cell r="E1471" t="str">
            <v>470 99 00</v>
          </cell>
          <cell r="F1471" t="str">
            <v>001</v>
          </cell>
        </row>
        <row r="1472">
          <cell r="A1472" t="str">
            <v>Увеличение стоимости основных средств</v>
          </cell>
          <cell r="B1472" t="str">
            <v>904</v>
          </cell>
          <cell r="C1472" t="str">
            <v>09</v>
          </cell>
          <cell r="D1472" t="str">
            <v>04</v>
          </cell>
          <cell r="E1472" t="str">
            <v>470 99 00</v>
          </cell>
          <cell r="F1472" t="str">
            <v>001</v>
          </cell>
        </row>
        <row r="1473">
          <cell r="A1473" t="str">
            <v>Увеличение стоимости материальных запасов</v>
          </cell>
          <cell r="B1473" t="str">
            <v>904</v>
          </cell>
          <cell r="C1473" t="str">
            <v>09</v>
          </cell>
          <cell r="D1473" t="str">
            <v>04</v>
          </cell>
          <cell r="E1473" t="str">
            <v>470 99 00</v>
          </cell>
          <cell r="F1473" t="str">
            <v>001</v>
          </cell>
        </row>
        <row r="1474">
          <cell r="A1474" t="str">
            <v>Субсидии некоммерческим организациям</v>
          </cell>
          <cell r="B1474" t="str">
            <v>904</v>
          </cell>
          <cell r="C1474" t="str">
            <v>09</v>
          </cell>
          <cell r="D1474" t="str">
            <v>04</v>
          </cell>
          <cell r="E1474" t="str">
            <v>470 99 00</v>
          </cell>
          <cell r="F1474" t="str">
            <v>019</v>
          </cell>
        </row>
        <row r="1475">
          <cell r="A1475" t="str">
            <v>Иные безвозмездные и безвозвратные перечисления </v>
          </cell>
          <cell r="B1475" t="str">
            <v>904</v>
          </cell>
          <cell r="C1475" t="str">
            <v>09</v>
          </cell>
          <cell r="D1475" t="str">
            <v>04</v>
          </cell>
          <cell r="E1475" t="str">
            <v>520 00 00</v>
          </cell>
          <cell r="F1475" t="str">
            <v>000 </v>
          </cell>
        </row>
        <row r="1476">
          <cell r="A1476" t="str">
            <v>Денежные выплаты медицинскому персоналу фельдшерско-акушерских пунктов, врачам, фельдшерам и медицинским сестрам скорой медицинской помощи</v>
          </cell>
          <cell r="B1476" t="str">
            <v>904</v>
          </cell>
          <cell r="C1476" t="str">
            <v>09</v>
          </cell>
          <cell r="D1476" t="str">
            <v>04</v>
          </cell>
          <cell r="E1476" t="str">
            <v>520 18 00</v>
          </cell>
          <cell r="F1476" t="str">
            <v>000</v>
          </cell>
        </row>
        <row r="1477">
          <cell r="A1477" t="str">
            <v>Выполнение функций бюджетными учреждениями</v>
          </cell>
          <cell r="B1477" t="str">
            <v>904</v>
          </cell>
          <cell r="C1477" t="str">
            <v>09</v>
          </cell>
          <cell r="D1477" t="str">
            <v>04</v>
          </cell>
          <cell r="E1477" t="str">
            <v>520 18 00</v>
          </cell>
          <cell r="F1477" t="str">
            <v>001</v>
          </cell>
        </row>
        <row r="1478">
          <cell r="A1478" t="str">
            <v>Расходы</v>
          </cell>
          <cell r="B1478" t="str">
            <v>904</v>
          </cell>
          <cell r="C1478" t="str">
            <v>09</v>
          </cell>
          <cell r="D1478" t="str">
            <v>04</v>
          </cell>
          <cell r="E1478" t="str">
            <v>520 18 00</v>
          </cell>
          <cell r="F1478" t="str">
            <v>001</v>
          </cell>
        </row>
        <row r="1479">
          <cell r="A1479" t="str">
            <v>Оплата труда и начисления на оплату труда</v>
          </cell>
          <cell r="B1479" t="str">
            <v>904</v>
          </cell>
          <cell r="C1479" t="str">
            <v>09</v>
          </cell>
          <cell r="D1479" t="str">
            <v>04</v>
          </cell>
          <cell r="E1479" t="str">
            <v>520 18 00</v>
          </cell>
          <cell r="F1479" t="str">
            <v>001</v>
          </cell>
        </row>
        <row r="1480">
          <cell r="A1480" t="str">
            <v>Заработная плата</v>
          </cell>
          <cell r="B1480" t="str">
            <v>904</v>
          </cell>
          <cell r="C1480" t="str">
            <v>09</v>
          </cell>
          <cell r="D1480" t="str">
            <v>04</v>
          </cell>
          <cell r="E1480" t="str">
            <v>520 18 00</v>
          </cell>
          <cell r="F1480" t="str">
            <v>001</v>
          </cell>
        </row>
        <row r="1481">
          <cell r="A1481" t="str">
            <v>Начисление на оплату труда</v>
          </cell>
          <cell r="B1481" t="str">
            <v>904</v>
          </cell>
          <cell r="C1481" t="str">
            <v>09</v>
          </cell>
          <cell r="D1481" t="str">
            <v>04</v>
          </cell>
          <cell r="E1481" t="str">
            <v>520 18 00</v>
          </cell>
          <cell r="F1481" t="str">
            <v>001</v>
          </cell>
        </row>
        <row r="1482">
          <cell r="A1482" t="str">
            <v>Обеспечение оказания дополнительной медицинской помощи, оказываемой врачами- терапевтами участковыми, врачами-педиаторами участковыми,и т.п.</v>
          </cell>
          <cell r="B1482" t="str">
            <v>904</v>
          </cell>
          <cell r="C1482" t="str">
            <v>09</v>
          </cell>
          <cell r="D1482" t="str">
            <v>02</v>
          </cell>
          <cell r="E1482" t="str">
            <v>520 21 00</v>
          </cell>
          <cell r="F1482" t="str">
            <v>001</v>
          </cell>
        </row>
        <row r="1483">
          <cell r="A1483" t="str">
            <v>Оплата труда и начисления на оплату труда</v>
          </cell>
          <cell r="B1483" t="str">
            <v>904</v>
          </cell>
          <cell r="C1483" t="str">
            <v>09</v>
          </cell>
          <cell r="D1483" t="str">
            <v>02</v>
          </cell>
          <cell r="E1483" t="str">
            <v>520 21 00</v>
          </cell>
          <cell r="F1483" t="str">
            <v>001</v>
          </cell>
        </row>
        <row r="1484">
          <cell r="A1484" t="str">
            <v>Заработная плата</v>
          </cell>
          <cell r="B1484" t="str">
            <v>904</v>
          </cell>
          <cell r="C1484" t="str">
            <v>09</v>
          </cell>
          <cell r="D1484" t="str">
            <v>02</v>
          </cell>
          <cell r="E1484" t="str">
            <v>520 21 00</v>
          </cell>
          <cell r="F1484" t="str">
            <v>001</v>
          </cell>
        </row>
        <row r="1485">
          <cell r="A1485" t="str">
            <v>Начисление на оплату труда</v>
          </cell>
          <cell r="B1485" t="str">
            <v>904</v>
          </cell>
          <cell r="C1485" t="str">
            <v>09</v>
          </cell>
          <cell r="D1485" t="str">
            <v>02</v>
          </cell>
          <cell r="E1485" t="str">
            <v>520 21 00</v>
          </cell>
          <cell r="F1485" t="str">
            <v>001</v>
          </cell>
        </row>
        <row r="1486">
          <cell r="A1486" t="str">
            <v>Спорт и физическая культура</v>
          </cell>
          <cell r="B1486" t="str">
            <v>904</v>
          </cell>
          <cell r="C1486" t="str">
            <v>09</v>
          </cell>
          <cell r="D1486" t="str">
            <v>08</v>
          </cell>
          <cell r="E1486" t="str">
            <v>000 00 00</v>
          </cell>
          <cell r="F1486" t="str">
            <v>000</v>
          </cell>
        </row>
        <row r="1487">
          <cell r="A1487" t="str">
            <v>Центры спортивной подготовки (сборные команды) </v>
          </cell>
          <cell r="B1487" t="str">
            <v>904</v>
          </cell>
          <cell r="C1487" t="str">
            <v>09</v>
          </cell>
          <cell r="D1487" t="str">
            <v>08</v>
          </cell>
          <cell r="E1487" t="str">
            <v>482 00 00</v>
          </cell>
          <cell r="F1487" t="str">
            <v>000</v>
          </cell>
        </row>
        <row r="1488">
          <cell r="A1488" t="str">
            <v>Обеспечение детельности  подведомственных учреждений </v>
          </cell>
          <cell r="B1488" t="str">
            <v>904</v>
          </cell>
          <cell r="C1488" t="str">
            <v>09</v>
          </cell>
          <cell r="D1488" t="str">
            <v>08</v>
          </cell>
          <cell r="E1488" t="str">
            <v>482 99 00</v>
          </cell>
          <cell r="F1488" t="str">
            <v>000</v>
          </cell>
        </row>
        <row r="1489">
          <cell r="A1489" t="str">
            <v>Выполнение функций бюджетными учреждениями</v>
          </cell>
          <cell r="B1489" t="str">
            <v>904</v>
          </cell>
          <cell r="C1489" t="str">
            <v>09</v>
          </cell>
          <cell r="D1489" t="str">
            <v>08</v>
          </cell>
          <cell r="E1489" t="str">
            <v>482 99 00</v>
          </cell>
          <cell r="F1489" t="str">
            <v>001</v>
          </cell>
        </row>
        <row r="1490">
          <cell r="A1490" t="str">
            <v>Расходы</v>
          </cell>
          <cell r="B1490" t="str">
            <v>904</v>
          </cell>
          <cell r="C1490" t="str">
            <v>09</v>
          </cell>
          <cell r="D1490" t="str">
            <v>08</v>
          </cell>
          <cell r="E1490" t="str">
            <v>482 99 00</v>
          </cell>
          <cell r="F1490" t="str">
            <v>001</v>
          </cell>
        </row>
        <row r="1491">
          <cell r="A1491" t="str">
            <v>Оплата труда и начисления на оплату труда</v>
          </cell>
          <cell r="B1491" t="str">
            <v>904</v>
          </cell>
          <cell r="C1491" t="str">
            <v>09</v>
          </cell>
          <cell r="D1491" t="str">
            <v>08</v>
          </cell>
          <cell r="E1491" t="str">
            <v>482 99 00</v>
          </cell>
          <cell r="F1491" t="str">
            <v>001</v>
          </cell>
        </row>
        <row r="1492">
          <cell r="A1492" t="str">
            <v>Заработная плата</v>
          </cell>
          <cell r="B1492" t="str">
            <v>904</v>
          </cell>
          <cell r="C1492" t="str">
            <v>09</v>
          </cell>
          <cell r="D1492" t="str">
            <v>08</v>
          </cell>
          <cell r="E1492" t="str">
            <v>482 99 00</v>
          </cell>
          <cell r="F1492" t="str">
            <v>001</v>
          </cell>
        </row>
        <row r="1493">
          <cell r="A1493" t="str">
            <v>Прочие выплаты</v>
          </cell>
          <cell r="B1493" t="str">
            <v>904</v>
          </cell>
          <cell r="C1493" t="str">
            <v>09</v>
          </cell>
          <cell r="D1493" t="str">
            <v>08</v>
          </cell>
          <cell r="E1493" t="str">
            <v>482 99 00</v>
          </cell>
          <cell r="F1493" t="str">
            <v>001</v>
          </cell>
        </row>
        <row r="1494">
          <cell r="A1494" t="str">
            <v>Начисление на оплату труда</v>
          </cell>
          <cell r="B1494" t="str">
            <v>904</v>
          </cell>
          <cell r="C1494" t="str">
            <v>09</v>
          </cell>
          <cell r="D1494" t="str">
            <v>08</v>
          </cell>
          <cell r="E1494" t="str">
            <v>482 99 00</v>
          </cell>
          <cell r="F1494" t="str">
            <v>001</v>
          </cell>
        </row>
        <row r="1495">
          <cell r="A1495" t="str">
            <v>Приобретение услуг</v>
          </cell>
          <cell r="B1495" t="str">
            <v>904</v>
          </cell>
          <cell r="C1495" t="str">
            <v>09</v>
          </cell>
          <cell r="D1495" t="str">
            <v>08</v>
          </cell>
          <cell r="E1495" t="str">
            <v>482 99 00</v>
          </cell>
          <cell r="F1495" t="str">
            <v>001</v>
          </cell>
        </row>
        <row r="1496">
          <cell r="A1496" t="str">
            <v>Услуги связи </v>
          </cell>
          <cell r="B1496" t="str">
            <v>904</v>
          </cell>
          <cell r="C1496" t="str">
            <v>09</v>
          </cell>
          <cell r="D1496" t="str">
            <v>08</v>
          </cell>
          <cell r="E1496" t="str">
            <v>482 99 00</v>
          </cell>
          <cell r="F1496" t="str">
            <v>001</v>
          </cell>
        </row>
        <row r="1497">
          <cell r="A1497" t="str">
            <v>Транспортные услуги</v>
          </cell>
          <cell r="B1497" t="str">
            <v>904</v>
          </cell>
          <cell r="C1497" t="str">
            <v>09</v>
          </cell>
          <cell r="D1497" t="str">
            <v>08</v>
          </cell>
          <cell r="E1497" t="str">
            <v>482 99 00</v>
          </cell>
          <cell r="F1497" t="str">
            <v>001</v>
          </cell>
        </row>
        <row r="1498">
          <cell r="A1498" t="str">
            <v>Коммунальные услуги</v>
          </cell>
          <cell r="B1498" t="str">
            <v>904</v>
          </cell>
          <cell r="C1498" t="str">
            <v>09</v>
          </cell>
          <cell r="D1498" t="str">
            <v>08</v>
          </cell>
          <cell r="E1498" t="str">
            <v>482 99 00</v>
          </cell>
          <cell r="F1498" t="str">
            <v>001</v>
          </cell>
        </row>
        <row r="1499">
          <cell r="A1499" t="str">
            <v>Арендная плата за пользование иммуществом </v>
          </cell>
          <cell r="B1499" t="str">
            <v>904</v>
          </cell>
          <cell r="C1499" t="str">
            <v>09</v>
          </cell>
          <cell r="D1499" t="str">
            <v>08</v>
          </cell>
          <cell r="E1499" t="str">
            <v>482 99 00</v>
          </cell>
          <cell r="F1499" t="str">
            <v>001</v>
          </cell>
        </row>
        <row r="1500">
          <cell r="A1500" t="str">
            <v>Услуги по содержанию иммущества</v>
          </cell>
          <cell r="B1500" t="str">
            <v>904</v>
          </cell>
          <cell r="C1500" t="str">
            <v>09</v>
          </cell>
          <cell r="D1500" t="str">
            <v>08</v>
          </cell>
          <cell r="E1500" t="str">
            <v>482 99 00</v>
          </cell>
          <cell r="F1500" t="str">
            <v>001</v>
          </cell>
        </row>
        <row r="1501">
          <cell r="A1501" t="str">
            <v>Прочие услуги</v>
          </cell>
          <cell r="B1501" t="str">
            <v>904</v>
          </cell>
          <cell r="C1501" t="str">
            <v>09</v>
          </cell>
          <cell r="D1501" t="str">
            <v>08</v>
          </cell>
          <cell r="E1501" t="str">
            <v>482 99 00</v>
          </cell>
          <cell r="F1501" t="str">
            <v>001</v>
          </cell>
        </row>
        <row r="1502">
          <cell r="A1502" t="str">
            <v>Прочие расходы </v>
          </cell>
          <cell r="B1502" t="str">
            <v>904</v>
          </cell>
          <cell r="C1502" t="str">
            <v>09</v>
          </cell>
          <cell r="D1502" t="str">
            <v>08</v>
          </cell>
          <cell r="E1502" t="str">
            <v>482 99 00</v>
          </cell>
          <cell r="F1502" t="str">
            <v>001</v>
          </cell>
        </row>
        <row r="1503">
          <cell r="A1503" t="str">
            <v>Поступление нефинансовых активов</v>
          </cell>
          <cell r="B1503" t="str">
            <v>904</v>
          </cell>
          <cell r="C1503" t="str">
            <v>09</v>
          </cell>
          <cell r="D1503" t="str">
            <v>08</v>
          </cell>
          <cell r="E1503" t="str">
            <v>482 99 00</v>
          </cell>
          <cell r="F1503" t="str">
            <v>001</v>
          </cell>
        </row>
        <row r="1504">
          <cell r="A1504" t="str">
            <v>Увеличение стоимости основных средств</v>
          </cell>
          <cell r="B1504" t="str">
            <v>904</v>
          </cell>
          <cell r="C1504" t="str">
            <v>09</v>
          </cell>
          <cell r="D1504" t="str">
            <v>08</v>
          </cell>
          <cell r="E1504" t="str">
            <v>482 99 00</v>
          </cell>
          <cell r="F1504" t="str">
            <v>001</v>
          </cell>
        </row>
        <row r="1505">
          <cell r="A1505" t="str">
            <v>Увеличение стоимости материальных запасов</v>
          </cell>
          <cell r="B1505" t="str">
            <v>904</v>
          </cell>
          <cell r="C1505" t="str">
            <v>09</v>
          </cell>
          <cell r="D1505" t="str">
            <v>08</v>
          </cell>
          <cell r="E1505" t="str">
            <v>482 99 00</v>
          </cell>
          <cell r="F1505" t="str">
            <v>001</v>
          </cell>
        </row>
        <row r="1506">
          <cell r="A1506" t="str">
            <v>Физкультурно-оздоровительная работа и спортивные мероприятия</v>
          </cell>
          <cell r="B1506" t="str">
            <v>904</v>
          </cell>
          <cell r="C1506" t="str">
            <v>09</v>
          </cell>
          <cell r="D1506" t="str">
            <v>08</v>
          </cell>
          <cell r="E1506" t="str">
            <v>512 00 00</v>
          </cell>
          <cell r="F1506" t="str">
            <v>000</v>
          </cell>
        </row>
        <row r="1507">
          <cell r="A1507" t="str">
            <v>Мероприятия в области здравоохранения, спорта и физической культуры, туризма </v>
          </cell>
          <cell r="B1507" t="str">
            <v>904</v>
          </cell>
          <cell r="C1507" t="str">
            <v>09</v>
          </cell>
          <cell r="D1507" t="str">
            <v>08</v>
          </cell>
          <cell r="E1507" t="str">
            <v>512 97 00</v>
          </cell>
          <cell r="F1507" t="str">
            <v>000</v>
          </cell>
        </row>
        <row r="1508">
          <cell r="A1508" t="str">
            <v>Выполнение функций органами местного самоуправления</v>
          </cell>
          <cell r="B1508" t="str">
            <v>904</v>
          </cell>
          <cell r="C1508" t="str">
            <v>09</v>
          </cell>
          <cell r="D1508" t="str">
            <v>08</v>
          </cell>
          <cell r="E1508" t="str">
            <v>512 97 00</v>
          </cell>
          <cell r="F1508" t="str">
            <v>500</v>
          </cell>
        </row>
        <row r="1509">
          <cell r="A1509" t="str">
            <v>Расходы</v>
          </cell>
          <cell r="B1509" t="str">
            <v>904</v>
          </cell>
          <cell r="C1509" t="str">
            <v>09</v>
          </cell>
          <cell r="D1509" t="str">
            <v>08</v>
          </cell>
          <cell r="E1509" t="str">
            <v>512 97 00</v>
          </cell>
          <cell r="F1509" t="str">
            <v>500</v>
          </cell>
        </row>
        <row r="1510">
          <cell r="A1510" t="str">
            <v>Приобретение услуг</v>
          </cell>
          <cell r="B1510" t="str">
            <v>904</v>
          </cell>
          <cell r="C1510" t="str">
            <v>09</v>
          </cell>
          <cell r="D1510" t="str">
            <v>08</v>
          </cell>
          <cell r="E1510" t="str">
            <v>512 97 00</v>
          </cell>
          <cell r="F1510" t="str">
            <v>500</v>
          </cell>
        </row>
        <row r="1511">
          <cell r="A1511" t="str">
            <v>Транспортные услуги</v>
          </cell>
          <cell r="B1511" t="str">
            <v>902</v>
          </cell>
          <cell r="C1511" t="str">
            <v>09</v>
          </cell>
          <cell r="D1511" t="str">
            <v>08</v>
          </cell>
          <cell r="E1511" t="str">
            <v>512 97 00</v>
          </cell>
          <cell r="F1511" t="str">
            <v>500</v>
          </cell>
        </row>
        <row r="1512">
          <cell r="A1512" t="str">
            <v>Прочие услуги</v>
          </cell>
          <cell r="B1512" t="str">
            <v>902</v>
          </cell>
          <cell r="C1512" t="str">
            <v>09</v>
          </cell>
          <cell r="D1512" t="str">
            <v>08</v>
          </cell>
          <cell r="E1512" t="str">
            <v>512 97 00</v>
          </cell>
          <cell r="F1512" t="str">
            <v>500</v>
          </cell>
        </row>
        <row r="1513">
          <cell r="A1513" t="str">
            <v>Прочие расходы</v>
          </cell>
          <cell r="B1513" t="str">
            <v>902</v>
          </cell>
          <cell r="C1513" t="str">
            <v>09</v>
          </cell>
          <cell r="D1513" t="str">
            <v>08</v>
          </cell>
          <cell r="E1513" t="str">
            <v>512 97 00</v>
          </cell>
          <cell r="F1513" t="str">
            <v>500</v>
          </cell>
        </row>
        <row r="1514">
          <cell r="A1514" t="str">
            <v>Прочие услуги</v>
          </cell>
          <cell r="B1514" t="str">
            <v>902</v>
          </cell>
          <cell r="C1514" t="str">
            <v>09</v>
          </cell>
          <cell r="D1514" t="str">
            <v>08</v>
          </cell>
          <cell r="E1514" t="str">
            <v>512 97 00</v>
          </cell>
          <cell r="F1514" t="str">
            <v>500</v>
          </cell>
        </row>
        <row r="1515">
          <cell r="A1515" t="str">
            <v>Прочие расходы</v>
          </cell>
          <cell r="B1515" t="str">
            <v>904</v>
          </cell>
          <cell r="C1515" t="str">
            <v>09</v>
          </cell>
          <cell r="D1515" t="str">
            <v>08</v>
          </cell>
          <cell r="E1515" t="str">
            <v>512 97 00</v>
          </cell>
          <cell r="F1515" t="str">
            <v>500</v>
          </cell>
        </row>
        <row r="1516">
          <cell r="A1516" t="str">
            <v>Прочие расходы</v>
          </cell>
          <cell r="B1516" t="str">
            <v>902</v>
          </cell>
          <cell r="C1516" t="str">
            <v>09</v>
          </cell>
          <cell r="D1516" t="str">
            <v>08</v>
          </cell>
          <cell r="E1516" t="str">
            <v>512 97 00</v>
          </cell>
          <cell r="F1516" t="str">
            <v>500</v>
          </cell>
        </row>
        <row r="1517">
          <cell r="A1517" t="str">
            <v>Поступление нефинансовых активов</v>
          </cell>
          <cell r="B1517" t="str">
            <v>904</v>
          </cell>
          <cell r="C1517" t="str">
            <v>09</v>
          </cell>
          <cell r="D1517" t="str">
            <v>08</v>
          </cell>
          <cell r="E1517" t="str">
            <v>512 97 00</v>
          </cell>
          <cell r="F1517" t="str">
            <v>500</v>
          </cell>
        </row>
        <row r="1518">
          <cell r="A1518" t="str">
            <v>Увеличение стоимости материальных запасов </v>
          </cell>
          <cell r="B1518" t="str">
            <v>906</v>
          </cell>
          <cell r="C1518" t="str">
            <v>09</v>
          </cell>
          <cell r="D1518" t="str">
            <v>08</v>
          </cell>
          <cell r="E1518" t="str">
            <v>512 97 00</v>
          </cell>
          <cell r="F1518" t="str">
            <v>500</v>
          </cell>
        </row>
        <row r="1519">
          <cell r="A1519" t="str">
            <v>Региональные целевые программы</v>
          </cell>
          <cell r="B1519" t="str">
            <v>907</v>
          </cell>
          <cell r="C1519" t="str">
            <v>09</v>
          </cell>
          <cell r="D1519" t="str">
            <v>08</v>
          </cell>
          <cell r="E1519" t="str">
            <v>512 97 00</v>
          </cell>
          <cell r="F1519" t="str">
            <v>500</v>
          </cell>
        </row>
        <row r="1520">
          <cell r="A1520" t="str">
            <v>Мероприятия в области здравоохранения, спорта и физической культуры </v>
          </cell>
          <cell r="B1520" t="str">
            <v>908</v>
          </cell>
          <cell r="C1520" t="str">
            <v>09</v>
          </cell>
          <cell r="D1520" t="str">
            <v>08</v>
          </cell>
          <cell r="E1520" t="str">
            <v>512 97 00</v>
          </cell>
          <cell r="F1520" t="str">
            <v>500</v>
          </cell>
        </row>
        <row r="1521">
          <cell r="A1521" t="str">
            <v>Прочие услуги </v>
          </cell>
          <cell r="B1521" t="str">
            <v>909</v>
          </cell>
          <cell r="C1521" t="str">
            <v>09</v>
          </cell>
          <cell r="D1521" t="str">
            <v>08</v>
          </cell>
          <cell r="E1521" t="str">
            <v>512 97 00</v>
          </cell>
          <cell r="F1521" t="str">
            <v>500</v>
          </cell>
        </row>
        <row r="1522">
          <cell r="A1522" t="str">
            <v>Увеличение стоимости материальных запасов</v>
          </cell>
          <cell r="B1522" t="str">
            <v>910</v>
          </cell>
          <cell r="C1522" t="str">
            <v>09</v>
          </cell>
          <cell r="D1522" t="str">
            <v>08</v>
          </cell>
          <cell r="E1522" t="str">
            <v>512 97 00</v>
          </cell>
          <cell r="F1522" t="str">
            <v>500</v>
          </cell>
        </row>
        <row r="1523">
          <cell r="A1523" t="str">
            <v>Увеличение стоимости материальных запасов</v>
          </cell>
          <cell r="B1523" t="str">
            <v>904</v>
          </cell>
          <cell r="C1523" t="str">
            <v>09</v>
          </cell>
          <cell r="D1523" t="str">
            <v>08</v>
          </cell>
          <cell r="E1523" t="str">
            <v>512 97 00</v>
          </cell>
          <cell r="F1523" t="str">
            <v>500</v>
          </cell>
        </row>
        <row r="1524">
          <cell r="A1524" t="str">
            <v>Целевые программы муниципальных образований </v>
          </cell>
          <cell r="B1524" t="str">
            <v>901</v>
          </cell>
          <cell r="C1524" t="str">
            <v>09</v>
          </cell>
          <cell r="D1524" t="str">
            <v>08</v>
          </cell>
          <cell r="E1524" t="str">
            <v>795 00 00</v>
          </cell>
          <cell r="F1524" t="str">
            <v>500</v>
          </cell>
        </row>
        <row r="1525">
          <cell r="A1525" t="str">
            <v>Мероприятие в области здравоохранения, спорта и физической культуры, туризма</v>
          </cell>
          <cell r="B1525" t="str">
            <v>901</v>
          </cell>
          <cell r="C1525" t="str">
            <v>09</v>
          </cell>
          <cell r="D1525" t="str">
            <v>08</v>
          </cell>
          <cell r="E1525" t="str">
            <v>795 00 00</v>
          </cell>
          <cell r="F1525" t="str">
            <v>500</v>
          </cell>
        </row>
        <row r="1526">
          <cell r="A1526" t="str">
            <v>Прочие услуги</v>
          </cell>
          <cell r="B1526" t="str">
            <v>901</v>
          </cell>
          <cell r="C1526" t="str">
            <v>09</v>
          </cell>
          <cell r="D1526" t="str">
            <v>08</v>
          </cell>
          <cell r="E1526" t="str">
            <v>795 00 00</v>
          </cell>
          <cell r="F1526" t="str">
            <v>500</v>
          </cell>
        </row>
        <row r="1527">
          <cell r="A1527" t="str">
            <v>Увеличение стоимости материальных запасов </v>
          </cell>
          <cell r="B1527" t="str">
            <v>901</v>
          </cell>
          <cell r="C1527" t="str">
            <v>09</v>
          </cell>
          <cell r="D1527" t="str">
            <v>08</v>
          </cell>
          <cell r="E1527" t="str">
            <v>795 00 00</v>
          </cell>
          <cell r="F1527" t="str">
            <v>500</v>
          </cell>
        </row>
        <row r="1528">
          <cell r="A1528" t="str">
            <v>Увеличение стоимости материальных запасов</v>
          </cell>
          <cell r="B1528" t="str">
            <v>902</v>
          </cell>
          <cell r="C1528" t="str">
            <v>09</v>
          </cell>
          <cell r="D1528" t="str">
            <v>08</v>
          </cell>
          <cell r="E1528" t="str">
            <v>512 97 00</v>
          </cell>
          <cell r="F1528" t="str">
            <v>500</v>
          </cell>
        </row>
        <row r="1529">
          <cell r="A1529" t="str">
            <v>Субсидии некоммерческим организациям</v>
          </cell>
          <cell r="B1529" t="str">
            <v>904</v>
          </cell>
          <cell r="C1529" t="str">
            <v>09</v>
          </cell>
          <cell r="D1529" t="str">
            <v>04</v>
          </cell>
          <cell r="E1529" t="str">
            <v>520 18 00</v>
          </cell>
          <cell r="F1529" t="str">
            <v>019</v>
          </cell>
        </row>
        <row r="1530">
          <cell r="A1530" t="str">
            <v>Другие вопросы в области здравоохранения, физической культуры и спорта</v>
          </cell>
          <cell r="B1530" t="str">
            <v>904</v>
          </cell>
          <cell r="C1530" t="str">
            <v>09</v>
          </cell>
          <cell r="D1530" t="str">
            <v>09</v>
          </cell>
          <cell r="E1530" t="str">
            <v>000 00 00</v>
          </cell>
          <cell r="F1530" t="str">
            <v>000</v>
          </cell>
        </row>
        <row r="1531">
          <cell r="A1531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1531" t="str">
            <v>904</v>
          </cell>
          <cell r="C1531" t="str">
            <v>09</v>
          </cell>
          <cell r="D1531" t="str">
            <v>09</v>
          </cell>
          <cell r="E1531" t="str">
            <v>002 00 00</v>
          </cell>
          <cell r="F1531" t="str">
            <v>000</v>
          </cell>
        </row>
        <row r="1532">
          <cell r="A1532" t="str">
            <v>Центральный аппарат</v>
          </cell>
          <cell r="B1532" t="str">
            <v>904</v>
          </cell>
          <cell r="C1532" t="str">
            <v>09</v>
          </cell>
          <cell r="D1532" t="str">
            <v>09</v>
          </cell>
          <cell r="E1532" t="str">
            <v>002 04 00</v>
          </cell>
          <cell r="F1532" t="str">
            <v>000</v>
          </cell>
        </row>
        <row r="1533">
          <cell r="A1533" t="str">
            <v>Выполнение функций органами местного самоуправления</v>
          </cell>
          <cell r="B1533" t="str">
            <v>904</v>
          </cell>
          <cell r="C1533" t="str">
            <v>09</v>
          </cell>
          <cell r="D1533" t="str">
            <v>09</v>
          </cell>
          <cell r="E1533" t="str">
            <v>002 04 00</v>
          </cell>
          <cell r="F1533" t="str">
            <v>500</v>
          </cell>
        </row>
        <row r="1534">
          <cell r="A1534" t="str">
            <v>Расходы</v>
          </cell>
          <cell r="B1534" t="str">
            <v>904</v>
          </cell>
          <cell r="C1534" t="str">
            <v>09</v>
          </cell>
          <cell r="D1534" t="str">
            <v>09</v>
          </cell>
          <cell r="E1534" t="str">
            <v>002 04 00</v>
          </cell>
          <cell r="F1534" t="str">
            <v>500</v>
          </cell>
        </row>
        <row r="1535">
          <cell r="A1535" t="str">
            <v>Оплата труда и начисления на оплату труда</v>
          </cell>
          <cell r="B1535" t="str">
            <v>904</v>
          </cell>
          <cell r="C1535" t="str">
            <v>09</v>
          </cell>
          <cell r="D1535" t="str">
            <v>09</v>
          </cell>
          <cell r="E1535" t="str">
            <v>002 04 00</v>
          </cell>
          <cell r="F1535" t="str">
            <v>500</v>
          </cell>
        </row>
        <row r="1536">
          <cell r="A1536" t="str">
            <v>Заработная плата</v>
          </cell>
          <cell r="B1536" t="str">
            <v>904</v>
          </cell>
          <cell r="C1536" t="str">
            <v>09</v>
          </cell>
          <cell r="D1536" t="str">
            <v>09</v>
          </cell>
          <cell r="E1536" t="str">
            <v>002 04 00</v>
          </cell>
          <cell r="F1536" t="str">
            <v>500</v>
          </cell>
        </row>
        <row r="1537">
          <cell r="A1537" t="str">
            <v>Прочие выплаты</v>
          </cell>
          <cell r="B1537" t="str">
            <v>904</v>
          </cell>
          <cell r="C1537" t="str">
            <v>09</v>
          </cell>
          <cell r="D1537" t="str">
            <v>09</v>
          </cell>
          <cell r="E1537" t="str">
            <v>002 04 00</v>
          </cell>
          <cell r="F1537" t="str">
            <v>500</v>
          </cell>
        </row>
        <row r="1538">
          <cell r="A1538" t="str">
            <v>Начисление на оплату труда</v>
          </cell>
          <cell r="B1538" t="str">
            <v>904</v>
          </cell>
          <cell r="C1538" t="str">
            <v>09</v>
          </cell>
          <cell r="D1538" t="str">
            <v>09</v>
          </cell>
          <cell r="E1538" t="str">
            <v>002 04 00</v>
          </cell>
          <cell r="F1538" t="str">
            <v>500</v>
          </cell>
        </row>
        <row r="1539">
          <cell r="A1539" t="str">
            <v>Приобретение услуг</v>
          </cell>
          <cell r="B1539" t="str">
            <v>904</v>
          </cell>
          <cell r="C1539" t="str">
            <v>09</v>
          </cell>
          <cell r="D1539" t="str">
            <v>09</v>
          </cell>
          <cell r="E1539" t="str">
            <v>002 04 00</v>
          </cell>
          <cell r="F1539" t="str">
            <v>500</v>
          </cell>
        </row>
        <row r="1540">
          <cell r="A1540" t="str">
            <v>Услуги связи </v>
          </cell>
          <cell r="B1540" t="str">
            <v>904</v>
          </cell>
          <cell r="C1540" t="str">
            <v>09</v>
          </cell>
          <cell r="D1540" t="str">
            <v>09</v>
          </cell>
          <cell r="E1540" t="str">
            <v>002 04 00</v>
          </cell>
          <cell r="F1540" t="str">
            <v>500</v>
          </cell>
        </row>
        <row r="1541">
          <cell r="A1541" t="str">
            <v>Транспортные услуги</v>
          </cell>
          <cell r="B1541" t="str">
            <v>904</v>
          </cell>
          <cell r="C1541" t="str">
            <v>09</v>
          </cell>
          <cell r="D1541" t="str">
            <v>09</v>
          </cell>
          <cell r="E1541" t="str">
            <v>002 04 00</v>
          </cell>
          <cell r="F1541" t="str">
            <v>500</v>
          </cell>
        </row>
        <row r="1542">
          <cell r="A1542" t="str">
            <v>Коммунальные услуги</v>
          </cell>
          <cell r="B1542" t="str">
            <v>904</v>
          </cell>
          <cell r="C1542" t="str">
            <v>09</v>
          </cell>
          <cell r="D1542" t="str">
            <v>09</v>
          </cell>
          <cell r="E1542" t="str">
            <v>002 04 00</v>
          </cell>
          <cell r="F1542" t="str">
            <v>500</v>
          </cell>
        </row>
        <row r="1543">
          <cell r="A1543" t="str">
            <v>Арендная плата за пользование иммуществом </v>
          </cell>
          <cell r="B1543" t="str">
            <v>904</v>
          </cell>
          <cell r="C1543" t="str">
            <v>09</v>
          </cell>
          <cell r="D1543" t="str">
            <v>09</v>
          </cell>
          <cell r="E1543" t="str">
            <v>002 04 00</v>
          </cell>
          <cell r="F1543" t="str">
            <v>500</v>
          </cell>
        </row>
        <row r="1544">
          <cell r="A1544" t="str">
            <v>Услуги по содержанию иммущества</v>
          </cell>
          <cell r="B1544" t="str">
            <v>904</v>
          </cell>
          <cell r="C1544" t="str">
            <v>09</v>
          </cell>
          <cell r="D1544" t="str">
            <v>09</v>
          </cell>
          <cell r="E1544" t="str">
            <v>002 04 00</v>
          </cell>
          <cell r="F1544" t="str">
            <v>500</v>
          </cell>
        </row>
        <row r="1545">
          <cell r="A1545" t="str">
            <v>Прочие услуги</v>
          </cell>
          <cell r="B1545" t="str">
            <v>904</v>
          </cell>
          <cell r="C1545" t="str">
            <v>09</v>
          </cell>
          <cell r="D1545" t="str">
            <v>09</v>
          </cell>
          <cell r="E1545" t="str">
            <v>002 04 00</v>
          </cell>
          <cell r="F1545" t="str">
            <v>500</v>
          </cell>
        </row>
        <row r="1546">
          <cell r="A1546" t="str">
            <v>Прочие расходы </v>
          </cell>
          <cell r="B1546" t="str">
            <v>904</v>
          </cell>
          <cell r="C1546" t="str">
            <v>09</v>
          </cell>
          <cell r="D1546" t="str">
            <v>09</v>
          </cell>
          <cell r="E1546" t="str">
            <v>002 04 00</v>
          </cell>
          <cell r="F1546" t="str">
            <v>500</v>
          </cell>
        </row>
        <row r="1547">
          <cell r="A1547" t="str">
            <v>Поступление нефинансовых активов</v>
          </cell>
          <cell r="B1547" t="str">
            <v>904</v>
          </cell>
          <cell r="C1547" t="str">
            <v>09</v>
          </cell>
          <cell r="D1547" t="str">
            <v>09</v>
          </cell>
          <cell r="E1547" t="str">
            <v>002 04 00</v>
          </cell>
          <cell r="F1547" t="str">
            <v>500</v>
          </cell>
        </row>
        <row r="1548">
          <cell r="A1548" t="str">
            <v>Увеличение стоимости основных средств</v>
          </cell>
          <cell r="B1548" t="str">
            <v>904</v>
          </cell>
          <cell r="C1548" t="str">
            <v>09</v>
          </cell>
          <cell r="D1548" t="str">
            <v>09</v>
          </cell>
          <cell r="E1548" t="str">
            <v>002 04 00</v>
          </cell>
          <cell r="F1548" t="str">
            <v>500</v>
          </cell>
        </row>
        <row r="1549">
          <cell r="A1549" t="str">
            <v>Увеличение стоимости материальных запасов</v>
          </cell>
          <cell r="B1549" t="str">
            <v>904</v>
          </cell>
          <cell r="C1549" t="str">
            <v>09</v>
          </cell>
          <cell r="D1549" t="str">
            <v>09</v>
          </cell>
          <cell r="E1549" t="str">
            <v>002 04 00</v>
          </cell>
          <cell r="F1549" t="str">
            <v>500</v>
          </cell>
        </row>
        <row r="1550">
          <cell r="A1550" t="str">
            <v>Оплата труда и начисления на оплату труда</v>
          </cell>
          <cell r="B1550" t="str">
            <v>904</v>
          </cell>
          <cell r="C1550" t="str">
            <v>09</v>
          </cell>
          <cell r="D1550" t="str">
            <v>09</v>
          </cell>
          <cell r="E1550" t="str">
            <v>001 00 00</v>
          </cell>
          <cell r="F1550" t="str">
            <v>005</v>
          </cell>
        </row>
        <row r="1551">
          <cell r="A1551" t="str">
            <v>Заработная плата</v>
          </cell>
          <cell r="B1551" t="str">
            <v>904</v>
          </cell>
          <cell r="C1551" t="str">
            <v>09</v>
          </cell>
          <cell r="D1551" t="str">
            <v>09</v>
          </cell>
          <cell r="E1551" t="str">
            <v>001 00 00</v>
          </cell>
          <cell r="F1551" t="str">
            <v>005</v>
          </cell>
        </row>
        <row r="1552">
          <cell r="A1552" t="str">
            <v>Прочие выплаты</v>
          </cell>
          <cell r="B1552" t="str">
            <v>904</v>
          </cell>
          <cell r="C1552" t="str">
            <v>09</v>
          </cell>
          <cell r="D1552" t="str">
            <v>09</v>
          </cell>
          <cell r="E1552" t="str">
            <v>001 00 00</v>
          </cell>
          <cell r="F1552" t="str">
            <v>005</v>
          </cell>
        </row>
        <row r="1553">
          <cell r="A1553" t="str">
            <v>Начисление на оплату труда</v>
          </cell>
          <cell r="B1553" t="str">
            <v>904</v>
          </cell>
          <cell r="C1553" t="str">
            <v>09</v>
          </cell>
          <cell r="D1553" t="str">
            <v>09</v>
          </cell>
          <cell r="E1553" t="str">
            <v>001 00 00</v>
          </cell>
          <cell r="F1553" t="str">
            <v>005</v>
          </cell>
        </row>
        <row r="1554">
          <cell r="A1554" t="str">
            <v>Приобретение услуг</v>
          </cell>
          <cell r="B1554" t="str">
            <v>904</v>
          </cell>
          <cell r="C1554" t="str">
            <v>09</v>
          </cell>
          <cell r="D1554" t="str">
            <v>09</v>
          </cell>
          <cell r="E1554" t="str">
            <v>001 00 00</v>
          </cell>
          <cell r="F1554" t="str">
            <v>005</v>
          </cell>
        </row>
        <row r="1555">
          <cell r="A1555" t="str">
            <v>Услуги связи </v>
          </cell>
          <cell r="B1555" t="str">
            <v>904</v>
          </cell>
          <cell r="C1555" t="str">
            <v>09</v>
          </cell>
          <cell r="D1555" t="str">
            <v>09</v>
          </cell>
          <cell r="E1555" t="str">
            <v>001 00 00</v>
          </cell>
          <cell r="F1555" t="str">
            <v>005</v>
          </cell>
        </row>
        <row r="1556">
          <cell r="A1556" t="str">
            <v>Транспортные услуги</v>
          </cell>
          <cell r="B1556" t="str">
            <v>904</v>
          </cell>
          <cell r="C1556" t="str">
            <v>09</v>
          </cell>
          <cell r="D1556" t="str">
            <v>09</v>
          </cell>
          <cell r="E1556" t="str">
            <v>001 00 00</v>
          </cell>
          <cell r="F1556" t="str">
            <v>005</v>
          </cell>
        </row>
        <row r="1557">
          <cell r="A1557" t="str">
            <v>Коммунальные услуги</v>
          </cell>
          <cell r="B1557" t="str">
            <v>904</v>
          </cell>
          <cell r="C1557" t="str">
            <v>09</v>
          </cell>
          <cell r="D1557" t="str">
            <v>09</v>
          </cell>
          <cell r="E1557" t="str">
            <v>001 00 00</v>
          </cell>
          <cell r="F1557" t="str">
            <v>005</v>
          </cell>
        </row>
        <row r="1558">
          <cell r="A1558" t="str">
            <v>Арендная плата за пользование иммуществом </v>
          </cell>
          <cell r="B1558" t="str">
            <v>904</v>
          </cell>
          <cell r="C1558" t="str">
            <v>09</v>
          </cell>
          <cell r="D1558" t="str">
            <v>09</v>
          </cell>
          <cell r="E1558" t="str">
            <v>001 00 00</v>
          </cell>
          <cell r="F1558" t="str">
            <v>005</v>
          </cell>
        </row>
        <row r="1559">
          <cell r="A1559" t="str">
            <v>Услуги по содержанию иммущества</v>
          </cell>
          <cell r="B1559" t="str">
            <v>904</v>
          </cell>
          <cell r="C1559" t="str">
            <v>09</v>
          </cell>
          <cell r="D1559" t="str">
            <v>09</v>
          </cell>
          <cell r="E1559" t="str">
            <v>001 00 00</v>
          </cell>
          <cell r="F1559" t="str">
            <v>005</v>
          </cell>
        </row>
        <row r="1560">
          <cell r="A1560" t="str">
            <v>Прочие услуги</v>
          </cell>
          <cell r="B1560" t="str">
            <v>904</v>
          </cell>
          <cell r="C1560" t="str">
            <v>09</v>
          </cell>
          <cell r="D1560" t="str">
            <v>09</v>
          </cell>
          <cell r="E1560" t="str">
            <v>001 00 00</v>
          </cell>
          <cell r="F1560" t="str">
            <v>005</v>
          </cell>
        </row>
        <row r="1561">
          <cell r="A1561" t="str">
            <v>Прочие расходы </v>
          </cell>
          <cell r="B1561" t="str">
            <v>904</v>
          </cell>
          <cell r="C1561" t="str">
            <v>09</v>
          </cell>
          <cell r="D1561" t="str">
            <v>09</v>
          </cell>
          <cell r="E1561" t="str">
            <v>001 00 00</v>
          </cell>
          <cell r="F1561" t="str">
            <v>005</v>
          </cell>
        </row>
        <row r="1562">
          <cell r="A1562" t="str">
            <v>Поступление нефинансовых активов</v>
          </cell>
          <cell r="B1562" t="str">
            <v>904</v>
          </cell>
          <cell r="C1562" t="str">
            <v>09</v>
          </cell>
          <cell r="D1562" t="str">
            <v>09</v>
          </cell>
          <cell r="E1562" t="str">
            <v>001 00 00</v>
          </cell>
          <cell r="F1562" t="str">
            <v>005</v>
          </cell>
        </row>
        <row r="1563">
          <cell r="A1563" t="str">
            <v>Увеличение стоимости основных средств</v>
          </cell>
          <cell r="B1563" t="str">
            <v>904</v>
          </cell>
          <cell r="C1563" t="str">
            <v>09</v>
          </cell>
          <cell r="D1563" t="str">
            <v>09</v>
          </cell>
          <cell r="E1563" t="str">
            <v>001 00 00</v>
          </cell>
          <cell r="F1563" t="str">
            <v>005</v>
          </cell>
        </row>
        <row r="1564">
          <cell r="A1564" t="str">
            <v>Увеличение стоимости материальных запасов</v>
          </cell>
          <cell r="B1564" t="str">
            <v>904</v>
          </cell>
          <cell r="C1564" t="str">
            <v>09</v>
          </cell>
          <cell r="D1564" t="str">
            <v>09</v>
          </cell>
          <cell r="E1564" t="str">
            <v>001 00 00</v>
          </cell>
          <cell r="F1564" t="str">
            <v>005</v>
          </cell>
        </row>
        <row r="1565">
          <cell r="A1565" t="str">
            <v>Межбюджетные трансферты на погашение кредиторской задолженности муниципальных учреждений по страховым взносам в Пенсионный фонд Российской Федерации на обязательное пенсионное страхование, сложившейся за период с 1 января 2001 года до 1 января 2010 года</v>
          </cell>
          <cell r="B1565" t="str">
            <v>904</v>
          </cell>
          <cell r="C1565" t="str">
            <v>09</v>
          </cell>
          <cell r="D1565" t="str">
            <v>09</v>
          </cell>
          <cell r="E1565" t="str">
            <v>603 00 00</v>
          </cell>
          <cell r="F1565" t="str">
            <v>001</v>
          </cell>
        </row>
        <row r="1566">
          <cell r="B1566" t="str">
            <v>905</v>
          </cell>
          <cell r="C1566" t="str">
            <v>08</v>
          </cell>
          <cell r="D1566" t="str">
            <v>04</v>
          </cell>
          <cell r="E1566" t="str">
            <v>603 00 00</v>
          </cell>
          <cell r="F1566" t="str">
            <v>001</v>
          </cell>
        </row>
        <row r="1567">
          <cell r="B1567" t="str">
            <v>905</v>
          </cell>
          <cell r="C1567" t="str">
            <v>08</v>
          </cell>
          <cell r="D1567" t="str">
            <v>04</v>
          </cell>
          <cell r="E1567" t="str">
            <v>603 00 00</v>
          </cell>
          <cell r="F1567" t="str">
            <v>001</v>
          </cell>
        </row>
        <row r="1568">
          <cell r="A1568" t="str">
            <v>Выполнение функций органами местного самоуправления</v>
          </cell>
          <cell r="B1568" t="str">
            <v>904</v>
          </cell>
          <cell r="C1568" t="str">
            <v>09</v>
          </cell>
          <cell r="D1568" t="str">
            <v>09</v>
          </cell>
          <cell r="E1568" t="str">
            <v>603 00 00</v>
          </cell>
          <cell r="F1568" t="str">
            <v>001</v>
          </cell>
        </row>
        <row r="1569">
          <cell r="A1569" t="str">
            <v>Расходы</v>
          </cell>
          <cell r="B1569" t="str">
            <v>904</v>
          </cell>
          <cell r="C1569" t="str">
            <v>09</v>
          </cell>
          <cell r="D1569" t="str">
            <v>09</v>
          </cell>
          <cell r="E1569" t="str">
            <v>603 00 00</v>
          </cell>
          <cell r="F1569" t="str">
            <v>001</v>
          </cell>
        </row>
        <row r="1570">
          <cell r="A1570" t="str">
            <v>Оплата труда и начисления на оплату труда</v>
          </cell>
          <cell r="B1570" t="str">
            <v>904</v>
          </cell>
          <cell r="C1570" t="str">
            <v>09</v>
          </cell>
          <cell r="D1570" t="str">
            <v>09</v>
          </cell>
          <cell r="E1570" t="str">
            <v>603 00 00</v>
          </cell>
          <cell r="F1570" t="str">
            <v>001</v>
          </cell>
        </row>
        <row r="1571">
          <cell r="A1571" t="str">
            <v>Начисление на оплату труда</v>
          </cell>
          <cell r="B1571" t="str">
            <v>904</v>
          </cell>
          <cell r="C1571" t="str">
            <v>09</v>
          </cell>
          <cell r="D1571" t="str">
            <v>09</v>
          </cell>
          <cell r="E1571" t="str">
            <v>603 00 00</v>
          </cell>
          <cell r="F1571" t="str">
            <v>001</v>
          </cell>
        </row>
        <row r="1572">
          <cell r="A1572" t="str">
            <v>Учебно-методические кабинеты, центральные бухгалтерии, группы хоз.обслуживания</v>
          </cell>
          <cell r="B1572" t="str">
            <v>904</v>
          </cell>
          <cell r="C1572" t="str">
            <v>09</v>
          </cell>
          <cell r="D1572" t="str">
            <v>09</v>
          </cell>
          <cell r="E1572" t="str">
            <v>002 00 00</v>
          </cell>
          <cell r="F1572" t="str">
            <v>000</v>
          </cell>
        </row>
        <row r="1573">
          <cell r="A1573" t="str">
            <v>Осуществление отдельных областных государственных полномочий в области охраны здоровья граждан</v>
          </cell>
          <cell r="B1573" t="str">
            <v>904</v>
          </cell>
          <cell r="C1573" t="str">
            <v>09</v>
          </cell>
          <cell r="D1573" t="str">
            <v>09</v>
          </cell>
          <cell r="E1573" t="str">
            <v>002 52 00</v>
          </cell>
          <cell r="F1573" t="str">
            <v>000</v>
          </cell>
        </row>
        <row r="1574">
          <cell r="A1574" t="str">
            <v>Выполнение функций бюджетными учреждениями</v>
          </cell>
          <cell r="B1574" t="str">
            <v>904</v>
          </cell>
          <cell r="C1574" t="str">
            <v>09</v>
          </cell>
          <cell r="D1574" t="str">
            <v>09</v>
          </cell>
          <cell r="E1574" t="str">
            <v>002 52 00</v>
          </cell>
          <cell r="F1574" t="str">
            <v>001</v>
          </cell>
        </row>
        <row r="1575">
          <cell r="A1575" t="str">
            <v>Субсидии некоммерческим организациям</v>
          </cell>
          <cell r="B1575" t="str">
            <v>904</v>
          </cell>
          <cell r="C1575" t="str">
            <v>09</v>
          </cell>
          <cell r="D1575" t="str">
            <v>09</v>
          </cell>
          <cell r="E1575" t="str">
            <v>002 52 00</v>
          </cell>
          <cell r="F1575" t="str">
            <v>019</v>
          </cell>
        </row>
        <row r="1576">
          <cell r="A1576" t="str">
            <v>Учебно-методические кабинеты, центральные бухгалтерии, группы хоз.обслуживания</v>
          </cell>
          <cell r="B1576" t="str">
            <v>904</v>
          </cell>
          <cell r="C1576" t="str">
            <v>09</v>
          </cell>
          <cell r="D1576" t="str">
            <v>09</v>
          </cell>
          <cell r="E1576" t="str">
            <v>452 00 00</v>
          </cell>
          <cell r="F1576" t="str">
            <v>000</v>
          </cell>
        </row>
        <row r="1577">
          <cell r="A1577" t="str">
            <v>Обеспечение деятельности подведомственных учреждений</v>
          </cell>
          <cell r="B1577" t="str">
            <v>904</v>
          </cell>
          <cell r="C1577" t="str">
            <v>09</v>
          </cell>
          <cell r="D1577" t="str">
            <v>09</v>
          </cell>
          <cell r="E1577" t="str">
            <v>452 99 00</v>
          </cell>
          <cell r="F1577" t="str">
            <v>000</v>
          </cell>
        </row>
        <row r="1578">
          <cell r="A1578" t="str">
            <v>Выполнение функций бюджетными учреждениями</v>
          </cell>
          <cell r="B1578" t="str">
            <v>904</v>
          </cell>
          <cell r="C1578" t="str">
            <v>09</v>
          </cell>
          <cell r="D1578" t="str">
            <v>09</v>
          </cell>
          <cell r="E1578" t="str">
            <v>452 99 00</v>
          </cell>
          <cell r="F1578" t="str">
            <v>001</v>
          </cell>
        </row>
        <row r="1579">
          <cell r="A1579" t="str">
            <v>Расходы</v>
          </cell>
          <cell r="B1579" t="str">
            <v>904</v>
          </cell>
          <cell r="C1579" t="str">
            <v>09</v>
          </cell>
          <cell r="D1579" t="str">
            <v>09</v>
          </cell>
          <cell r="E1579" t="str">
            <v>452 99 00</v>
          </cell>
          <cell r="F1579" t="str">
            <v>001</v>
          </cell>
        </row>
        <row r="1580">
          <cell r="A1580" t="str">
            <v>Оплата труда и начисления на оплату труда</v>
          </cell>
          <cell r="B1580" t="str">
            <v>904</v>
          </cell>
          <cell r="C1580" t="str">
            <v>09</v>
          </cell>
          <cell r="D1580" t="str">
            <v>09</v>
          </cell>
          <cell r="E1580" t="str">
            <v>452 99 00</v>
          </cell>
          <cell r="F1580" t="str">
            <v>001</v>
          </cell>
        </row>
        <row r="1581">
          <cell r="A1581" t="str">
            <v>Заработная плата</v>
          </cell>
          <cell r="B1581" t="str">
            <v>904</v>
          </cell>
          <cell r="C1581" t="str">
            <v>09</v>
          </cell>
          <cell r="D1581" t="str">
            <v>09</v>
          </cell>
          <cell r="E1581" t="str">
            <v>452 99 00</v>
          </cell>
          <cell r="F1581" t="str">
            <v>001</v>
          </cell>
        </row>
        <row r="1582">
          <cell r="A1582" t="str">
            <v>Прочие выплаты</v>
          </cell>
          <cell r="B1582" t="str">
            <v>904</v>
          </cell>
          <cell r="C1582" t="str">
            <v>09</v>
          </cell>
          <cell r="D1582" t="str">
            <v>09</v>
          </cell>
          <cell r="E1582" t="str">
            <v>452 99 00</v>
          </cell>
          <cell r="F1582" t="str">
            <v>001</v>
          </cell>
        </row>
        <row r="1583">
          <cell r="A1583" t="str">
            <v>Начисление на оплату труда</v>
          </cell>
          <cell r="B1583" t="str">
            <v>904</v>
          </cell>
          <cell r="C1583" t="str">
            <v>09</v>
          </cell>
          <cell r="D1583" t="str">
            <v>09</v>
          </cell>
          <cell r="E1583" t="str">
            <v>452 99 00</v>
          </cell>
          <cell r="F1583" t="str">
            <v>001</v>
          </cell>
        </row>
        <row r="1584">
          <cell r="A1584" t="str">
            <v>Приобретение услуг</v>
          </cell>
          <cell r="B1584" t="str">
            <v>904</v>
          </cell>
          <cell r="C1584" t="str">
            <v>09</v>
          </cell>
          <cell r="D1584" t="str">
            <v>09</v>
          </cell>
          <cell r="E1584" t="str">
            <v>452 99 00</v>
          </cell>
          <cell r="F1584" t="str">
            <v>001</v>
          </cell>
        </row>
        <row r="1585">
          <cell r="A1585" t="str">
            <v>Услуги связи </v>
          </cell>
          <cell r="B1585" t="str">
            <v>904</v>
          </cell>
          <cell r="C1585" t="str">
            <v>09</v>
          </cell>
          <cell r="D1585" t="str">
            <v>09</v>
          </cell>
          <cell r="E1585" t="str">
            <v>452 99 00</v>
          </cell>
          <cell r="F1585" t="str">
            <v>001</v>
          </cell>
        </row>
        <row r="1586">
          <cell r="A1586" t="str">
            <v>Транспортные услуги</v>
          </cell>
          <cell r="B1586" t="str">
            <v>904</v>
          </cell>
          <cell r="C1586" t="str">
            <v>09</v>
          </cell>
          <cell r="D1586" t="str">
            <v>09</v>
          </cell>
          <cell r="E1586" t="str">
            <v>452 99 00</v>
          </cell>
          <cell r="F1586" t="str">
            <v>001</v>
          </cell>
        </row>
        <row r="1587">
          <cell r="A1587" t="str">
            <v>Коммунальные услуги</v>
          </cell>
          <cell r="B1587" t="str">
            <v>904</v>
          </cell>
          <cell r="C1587" t="str">
            <v>09</v>
          </cell>
          <cell r="D1587" t="str">
            <v>09</v>
          </cell>
          <cell r="E1587" t="str">
            <v>452 99 00</v>
          </cell>
          <cell r="F1587" t="str">
            <v>001</v>
          </cell>
        </row>
        <row r="1588">
          <cell r="A1588" t="str">
            <v>Арендная плата за пользование иммуществом </v>
          </cell>
          <cell r="B1588" t="str">
            <v>904</v>
          </cell>
          <cell r="C1588" t="str">
            <v>09</v>
          </cell>
          <cell r="D1588" t="str">
            <v>09</v>
          </cell>
          <cell r="E1588" t="str">
            <v>452 99 00</v>
          </cell>
          <cell r="F1588" t="str">
            <v>001</v>
          </cell>
        </row>
        <row r="1589">
          <cell r="A1589" t="str">
            <v>Услуги по содержанию иммущества</v>
          </cell>
          <cell r="B1589" t="str">
            <v>904</v>
          </cell>
          <cell r="C1589" t="str">
            <v>09</v>
          </cell>
          <cell r="D1589" t="str">
            <v>09</v>
          </cell>
          <cell r="E1589" t="str">
            <v>452 99 00</v>
          </cell>
          <cell r="F1589" t="str">
            <v>001</v>
          </cell>
        </row>
        <row r="1590">
          <cell r="A1590" t="str">
            <v>Прочие услуги</v>
          </cell>
          <cell r="B1590" t="str">
            <v>904</v>
          </cell>
          <cell r="C1590" t="str">
            <v>09</v>
          </cell>
          <cell r="D1590" t="str">
            <v>09</v>
          </cell>
          <cell r="E1590" t="str">
            <v>452 99 00</v>
          </cell>
          <cell r="F1590" t="str">
            <v>001</v>
          </cell>
        </row>
        <row r="1591">
          <cell r="A1591" t="str">
            <v>Прочие расходы </v>
          </cell>
          <cell r="B1591" t="str">
            <v>904</v>
          </cell>
          <cell r="C1591" t="str">
            <v>09</v>
          </cell>
          <cell r="D1591" t="str">
            <v>09</v>
          </cell>
          <cell r="E1591" t="str">
            <v>452 99 00</v>
          </cell>
          <cell r="F1591" t="str">
            <v>001</v>
          </cell>
        </row>
        <row r="1592">
          <cell r="A1592" t="str">
            <v>Поступление нефинансовых активов</v>
          </cell>
          <cell r="B1592" t="str">
            <v>904</v>
          </cell>
          <cell r="C1592" t="str">
            <v>09</v>
          </cell>
          <cell r="D1592" t="str">
            <v>09</v>
          </cell>
          <cell r="E1592" t="str">
            <v>452 99 00</v>
          </cell>
          <cell r="F1592" t="str">
            <v>001</v>
          </cell>
        </row>
        <row r="1593">
          <cell r="A1593" t="str">
            <v>Увеличение стоимости основных средств</v>
          </cell>
          <cell r="B1593" t="str">
            <v>904</v>
          </cell>
          <cell r="C1593" t="str">
            <v>09</v>
          </cell>
          <cell r="D1593" t="str">
            <v>09</v>
          </cell>
          <cell r="E1593" t="str">
            <v>452 99 00</v>
          </cell>
          <cell r="F1593" t="str">
            <v>001</v>
          </cell>
        </row>
        <row r="1594">
          <cell r="A1594" t="str">
            <v>Увеличение стоимости материальных запасов</v>
          </cell>
          <cell r="B1594" t="str">
            <v>904</v>
          </cell>
          <cell r="C1594" t="str">
            <v>09</v>
          </cell>
          <cell r="D1594" t="str">
            <v>09</v>
          </cell>
          <cell r="E1594" t="str">
            <v>452 99 00</v>
          </cell>
          <cell r="F1594" t="str">
            <v>001</v>
          </cell>
        </row>
        <row r="1595">
          <cell r="A1595" t="str">
            <v>Региональные целевые программы</v>
          </cell>
          <cell r="B1595" t="str">
            <v>901</v>
          </cell>
          <cell r="C1595" t="str">
            <v>09</v>
          </cell>
          <cell r="D1595" t="str">
            <v>09</v>
          </cell>
          <cell r="E1595" t="str">
            <v>522 00 00</v>
          </cell>
          <cell r="F1595" t="str">
            <v>000</v>
          </cell>
        </row>
        <row r="1596">
          <cell r="A1596" t="str">
            <v>Мероприятия в области здравоохранения, спорта и физической культуры </v>
          </cell>
          <cell r="B1596" t="str">
            <v>901</v>
          </cell>
          <cell r="C1596" t="str">
            <v>09</v>
          </cell>
          <cell r="D1596" t="str">
            <v>09</v>
          </cell>
          <cell r="E1596" t="str">
            <v>522 00 00</v>
          </cell>
          <cell r="F1596" t="str">
            <v>455</v>
          </cell>
        </row>
        <row r="1597">
          <cell r="A1597" t="str">
            <v>Увеличение стоимости основных средств</v>
          </cell>
          <cell r="B1597" t="str">
            <v>901</v>
          </cell>
          <cell r="C1597" t="str">
            <v>09</v>
          </cell>
          <cell r="D1597" t="str">
            <v>09</v>
          </cell>
          <cell r="E1597" t="str">
            <v>522 00 00</v>
          </cell>
          <cell r="F1597" t="str">
            <v>455</v>
          </cell>
        </row>
        <row r="1598">
          <cell r="A1598" t="str">
            <v>Региональные целевые программы Развитие  села</v>
          </cell>
          <cell r="B1598" t="str">
            <v>904</v>
          </cell>
          <cell r="C1598" t="str">
            <v>09</v>
          </cell>
          <cell r="D1598" t="str">
            <v>09</v>
          </cell>
          <cell r="E1598" t="str">
            <v>522 00 00</v>
          </cell>
          <cell r="F1598" t="str">
            <v>000</v>
          </cell>
        </row>
        <row r="1599">
          <cell r="A1599" t="str">
            <v>Мероприятия в области здравоохранения, спорта и физической культуры </v>
          </cell>
          <cell r="B1599" t="str">
            <v>904</v>
          </cell>
          <cell r="C1599" t="str">
            <v>09</v>
          </cell>
          <cell r="D1599" t="str">
            <v>09</v>
          </cell>
          <cell r="E1599" t="str">
            <v>522 18 00</v>
          </cell>
          <cell r="F1599" t="str">
            <v>000</v>
          </cell>
        </row>
        <row r="1600">
          <cell r="A1600" t="str">
            <v>Услуги по содержанию иммущества</v>
          </cell>
          <cell r="B1600" t="str">
            <v>904</v>
          </cell>
          <cell r="C1600" t="str">
            <v>09</v>
          </cell>
          <cell r="D1600" t="str">
            <v>09</v>
          </cell>
          <cell r="E1600" t="str">
            <v>522 18 00</v>
          </cell>
          <cell r="F1600" t="str">
            <v>079</v>
          </cell>
        </row>
        <row r="1601">
          <cell r="A1601" t="str">
            <v>Увеличение стоимости основных средств</v>
          </cell>
          <cell r="B1601" t="str">
            <v>904</v>
          </cell>
          <cell r="C1601" t="str">
            <v>09</v>
          </cell>
          <cell r="D1601" t="str">
            <v>09</v>
          </cell>
          <cell r="E1601" t="str">
            <v>522 18 00</v>
          </cell>
          <cell r="F1601" t="str">
            <v>079</v>
          </cell>
        </row>
        <row r="1602">
          <cell r="A1602" t="str">
            <v>Увеличение стоимости основных средств</v>
          </cell>
          <cell r="B1602" t="str">
            <v>904</v>
          </cell>
          <cell r="C1602" t="str">
            <v>09</v>
          </cell>
          <cell r="D1602" t="str">
            <v>09</v>
          </cell>
          <cell r="E1602" t="str">
            <v>522 18 00</v>
          </cell>
          <cell r="F1602" t="str">
            <v>079</v>
          </cell>
        </row>
        <row r="1603">
          <cell r="A1603" t="str">
            <v>Увеличение стоимости материальных запасов</v>
          </cell>
          <cell r="B1603" t="str">
            <v>904</v>
          </cell>
          <cell r="C1603" t="str">
            <v>09</v>
          </cell>
          <cell r="D1603" t="str">
            <v>09</v>
          </cell>
          <cell r="E1603" t="str">
            <v>522 18 00</v>
          </cell>
          <cell r="F1603" t="str">
            <v>079</v>
          </cell>
        </row>
        <row r="1604">
          <cell r="A1604" t="str">
            <v>Субсидии некоммерческим организациям</v>
          </cell>
          <cell r="B1604" t="str">
            <v>904</v>
          </cell>
          <cell r="C1604" t="str">
            <v>09</v>
          </cell>
          <cell r="D1604" t="str">
            <v>09</v>
          </cell>
          <cell r="E1604" t="str">
            <v>452 99 00</v>
          </cell>
          <cell r="F1604" t="str">
            <v>019</v>
          </cell>
        </row>
        <row r="1605">
          <cell r="A1605" t="str">
            <v>Учреждения, обеспечивающие предоставление услуг в сфере здравоохранения</v>
          </cell>
          <cell r="B1605" t="str">
            <v>904</v>
          </cell>
          <cell r="C1605" t="str">
            <v>09</v>
          </cell>
          <cell r="D1605" t="str">
            <v>09</v>
          </cell>
          <cell r="E1605" t="str">
            <v>469 00 00</v>
          </cell>
          <cell r="F1605" t="str">
            <v>000</v>
          </cell>
        </row>
        <row r="1606">
          <cell r="A1606" t="str">
            <v>Обеспечение деятельности подведомственных учреждений</v>
          </cell>
          <cell r="B1606" t="str">
            <v>904</v>
          </cell>
          <cell r="C1606" t="str">
            <v>09</v>
          </cell>
          <cell r="D1606" t="str">
            <v>09</v>
          </cell>
          <cell r="E1606" t="str">
            <v>469 99 00</v>
          </cell>
          <cell r="F1606" t="str">
            <v>000</v>
          </cell>
        </row>
        <row r="1607">
          <cell r="A1607" t="str">
            <v>Выполнение функций бюджетными учреждениями</v>
          </cell>
          <cell r="B1607" t="str">
            <v>904</v>
          </cell>
          <cell r="C1607" t="str">
            <v>09</v>
          </cell>
          <cell r="D1607" t="str">
            <v>09</v>
          </cell>
          <cell r="E1607" t="str">
            <v>469 99 00</v>
          </cell>
          <cell r="F1607" t="str">
            <v>001</v>
          </cell>
        </row>
        <row r="1608">
          <cell r="A1608" t="str">
            <v>Реализация региональных программ модернизации здравоохранения субъектов РФ и программ модернизации федеральных государственных учреждений</v>
          </cell>
          <cell r="B1608" t="str">
            <v>904</v>
          </cell>
          <cell r="C1608" t="str">
            <v>09</v>
          </cell>
          <cell r="D1608" t="str">
            <v>09</v>
          </cell>
          <cell r="E1608" t="str">
            <v>096 00 00</v>
          </cell>
          <cell r="F1608" t="str">
            <v>000</v>
          </cell>
        </row>
        <row r="1609">
          <cell r="A1609" t="str">
            <v>Реализация программ модернизации здравоохранения субъектов РФ в части укрепления материально-технической базы медицинских учреждений</v>
          </cell>
          <cell r="B1609" t="str">
            <v>904</v>
          </cell>
          <cell r="C1609" t="str">
            <v>09</v>
          </cell>
          <cell r="D1609" t="str">
            <v>09</v>
          </cell>
          <cell r="E1609" t="str">
            <v>096 01 00</v>
          </cell>
          <cell r="F1609" t="str">
            <v>000</v>
          </cell>
        </row>
        <row r="1610">
          <cell r="A1610" t="str">
            <v>Реализация программ модернизации здравоохранения субъектов РФ в части укрепления материально-технической базы медицинских учреждений за счет средств бюджета территориального фонда обязательного медицинского страхования граждан Иркутской области</v>
          </cell>
          <cell r="B1610" t="str">
            <v>904</v>
          </cell>
          <cell r="C1610" t="str">
            <v>09</v>
          </cell>
          <cell r="D1610" t="str">
            <v>09</v>
          </cell>
          <cell r="E1610" t="str">
            <v>096 01 01</v>
          </cell>
          <cell r="F1610" t="str">
            <v>000</v>
          </cell>
        </row>
        <row r="1611">
          <cell r="A1611" t="str">
            <v>Выполнение функций бюджетными учреждениями</v>
          </cell>
          <cell r="B1611" t="str">
            <v>904</v>
          </cell>
          <cell r="C1611" t="str">
            <v>09</v>
          </cell>
          <cell r="D1611" t="str">
            <v>09</v>
          </cell>
          <cell r="E1611" t="str">
            <v>096 01 01</v>
          </cell>
          <cell r="F1611" t="str">
            <v>001</v>
          </cell>
        </row>
        <row r="1614">
          <cell r="A1614" t="str">
            <v>Учреждения, обеспечивающие предоставление услуг в сфере здравоохранения</v>
          </cell>
          <cell r="B1614" t="str">
            <v>904</v>
          </cell>
          <cell r="C1614" t="str">
            <v>09</v>
          </cell>
          <cell r="D1614" t="str">
            <v>09</v>
          </cell>
          <cell r="E1614" t="str">
            <v>469 00 00</v>
          </cell>
          <cell r="F1614" t="str">
            <v>000</v>
          </cell>
        </row>
        <row r="1615">
          <cell r="A1615" t="str">
            <v>Обеспечение деятельности подведомственных учреждений</v>
          </cell>
          <cell r="B1615" t="str">
            <v>904</v>
          </cell>
          <cell r="C1615" t="str">
            <v>09</v>
          </cell>
          <cell r="D1615" t="str">
            <v>09</v>
          </cell>
          <cell r="E1615" t="str">
            <v>469 99 00</v>
          </cell>
          <cell r="F1615" t="str">
            <v>000</v>
          </cell>
        </row>
        <row r="1616">
          <cell r="A1616" t="str">
            <v>Выполнение функций бюджетными учреждениями</v>
          </cell>
          <cell r="B1616" t="str">
            <v>904</v>
          </cell>
          <cell r="C1616" t="str">
            <v>09</v>
          </cell>
          <cell r="D1616" t="str">
            <v>09</v>
          </cell>
          <cell r="E1616" t="str">
            <v>469 99 00</v>
          </cell>
          <cell r="F1616" t="str">
            <v>001</v>
          </cell>
        </row>
        <row r="1617">
          <cell r="A1617" t="str">
            <v>Расходы</v>
          </cell>
          <cell r="B1617" t="str">
            <v>904</v>
          </cell>
          <cell r="C1617" t="str">
            <v>09</v>
          </cell>
          <cell r="D1617" t="str">
            <v>09</v>
          </cell>
          <cell r="E1617" t="str">
            <v>469 99 00</v>
          </cell>
          <cell r="F1617" t="str">
            <v>001</v>
          </cell>
        </row>
        <row r="1618">
          <cell r="A1618" t="str">
            <v>Приобретение услуг</v>
          </cell>
          <cell r="B1618" t="str">
            <v>904</v>
          </cell>
          <cell r="C1618" t="str">
            <v>09</v>
          </cell>
          <cell r="D1618" t="str">
            <v>09</v>
          </cell>
          <cell r="E1618" t="str">
            <v>469 99 00</v>
          </cell>
          <cell r="F1618" t="str">
            <v>001</v>
          </cell>
        </row>
        <row r="1619">
          <cell r="A1619" t="str">
            <v>Прочие услуги</v>
          </cell>
          <cell r="B1619" t="str">
            <v>904</v>
          </cell>
          <cell r="C1619" t="str">
            <v>09</v>
          </cell>
          <cell r="D1619" t="str">
            <v>09</v>
          </cell>
          <cell r="E1619" t="str">
            <v>469 99 00</v>
          </cell>
          <cell r="F1619" t="str">
            <v>001</v>
          </cell>
        </row>
        <row r="1620">
          <cell r="A1620" t="str">
            <v>Реализация программ модернизации здравоохранения субъектов РФ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за счет средств областного бюджета</v>
          </cell>
          <cell r="B1620" t="str">
            <v>904</v>
          </cell>
          <cell r="C1620" t="str">
            <v>09</v>
          </cell>
          <cell r="D1620" t="str">
            <v>09</v>
          </cell>
          <cell r="E1620" t="str">
            <v>096 01 02</v>
          </cell>
          <cell r="F1620" t="str">
            <v>000</v>
          </cell>
        </row>
        <row r="1621">
          <cell r="A1621" t="str">
            <v>Выполнение функций бюджетными учреждениями</v>
          </cell>
          <cell r="B1621" t="str">
            <v>904</v>
          </cell>
          <cell r="C1621" t="str">
            <v>09</v>
          </cell>
          <cell r="D1621" t="str">
            <v>09</v>
          </cell>
          <cell r="E1621" t="str">
            <v>096 01 02</v>
          </cell>
          <cell r="F1621" t="str">
            <v>001</v>
          </cell>
        </row>
        <row r="1624">
          <cell r="A1624" t="str">
            <v>Целевые программы муниципальных образований </v>
          </cell>
          <cell r="B1624" t="str">
            <v>904</v>
          </cell>
          <cell r="C1624" t="str">
            <v>09</v>
          </cell>
          <cell r="D1624" t="str">
            <v>09</v>
          </cell>
          <cell r="E1624" t="str">
            <v>795 00 00</v>
          </cell>
          <cell r="F1624" t="str">
            <v>000</v>
          </cell>
        </row>
        <row r="1625">
          <cell r="A1625" t="str">
            <v>Выполнение функций органами местного самоуправления</v>
          </cell>
          <cell r="B1625" t="str">
            <v>904</v>
          </cell>
          <cell r="C1625" t="str">
            <v>09</v>
          </cell>
          <cell r="D1625" t="str">
            <v>09</v>
          </cell>
          <cell r="E1625" t="str">
            <v>795 00 00</v>
          </cell>
          <cell r="F1625" t="str">
            <v>500</v>
          </cell>
        </row>
        <row r="1626">
          <cell r="A1626" t="str">
            <v>АНТИ-ВИЧ\СПИД на2012- 2015 г</v>
          </cell>
          <cell r="B1626" t="str">
            <v>904</v>
          </cell>
          <cell r="C1626" t="str">
            <v>09</v>
          </cell>
          <cell r="D1626" t="str">
            <v>09</v>
          </cell>
          <cell r="E1626" t="str">
            <v>795 11 00</v>
          </cell>
          <cell r="F1626" t="str">
            <v>000</v>
          </cell>
        </row>
        <row r="1627">
          <cell r="A1627" t="str">
            <v>Выполнение функций органами местного самоуправления</v>
          </cell>
          <cell r="B1627" t="str">
            <v>904</v>
          </cell>
          <cell r="C1627" t="str">
            <v>09</v>
          </cell>
          <cell r="D1627" t="str">
            <v>09</v>
          </cell>
          <cell r="E1627" t="str">
            <v>795 11 00</v>
          </cell>
          <cell r="F1627" t="str">
            <v>500</v>
          </cell>
        </row>
        <row r="1628">
          <cell r="A1628" t="str">
            <v>"Безопасное материнство на 2009-2013 гг"</v>
          </cell>
          <cell r="B1628" t="str">
            <v>904</v>
          </cell>
          <cell r="C1628" t="str">
            <v>09</v>
          </cell>
          <cell r="D1628" t="str">
            <v>09</v>
          </cell>
          <cell r="E1628" t="str">
            <v>795 13 00</v>
          </cell>
          <cell r="F1628" t="str">
            <v>000</v>
          </cell>
        </row>
        <row r="1629">
          <cell r="A1629" t="str">
            <v>Выполнение функций органами местного самоуправления</v>
          </cell>
          <cell r="B1629" t="str">
            <v>904</v>
          </cell>
          <cell r="C1629" t="str">
            <v>09</v>
          </cell>
          <cell r="D1629" t="str">
            <v>09</v>
          </cell>
          <cell r="E1629" t="str">
            <v>795 13 00</v>
          </cell>
          <cell r="F1629" t="str">
            <v>500</v>
          </cell>
        </row>
        <row r="1630">
          <cell r="A1630" t="str">
            <v>"Предупреждение и борьба  с туберкулезом , совершенствование стратегий и тактики организации противотуберкулезных мероприятий в Усольском районе в 2011-2012 гг"</v>
          </cell>
          <cell r="B1630" t="str">
            <v>904</v>
          </cell>
          <cell r="C1630" t="str">
            <v>09</v>
          </cell>
          <cell r="D1630" t="str">
            <v>09</v>
          </cell>
          <cell r="E1630" t="str">
            <v>795 14 00</v>
          </cell>
          <cell r="F1630" t="str">
            <v>000</v>
          </cell>
        </row>
        <row r="1631">
          <cell r="A1631" t="str">
            <v>Выполнение функций органами местного самоуправления</v>
          </cell>
          <cell r="B1631" t="str">
            <v>904</v>
          </cell>
          <cell r="C1631" t="str">
            <v>09</v>
          </cell>
          <cell r="D1631" t="str">
            <v>09</v>
          </cell>
          <cell r="E1631" t="str">
            <v>795 14 00</v>
          </cell>
          <cell r="F1631" t="str">
            <v>500</v>
          </cell>
        </row>
        <row r="1632">
          <cell r="A1632" t="str">
            <v>"Профилактика и  лечение артериальной гипертонии  на 2010-2012 гг"</v>
          </cell>
          <cell r="B1632" t="str">
            <v>904</v>
          </cell>
          <cell r="C1632" t="str">
            <v>09</v>
          </cell>
          <cell r="D1632" t="str">
            <v>09</v>
          </cell>
          <cell r="E1632" t="str">
            <v>795 15 00</v>
          </cell>
          <cell r="F1632" t="str">
            <v>000</v>
          </cell>
        </row>
        <row r="1633">
          <cell r="A1633" t="str">
            <v>Выполнение функций органами местного самоуправления</v>
          </cell>
          <cell r="B1633" t="str">
            <v>904</v>
          </cell>
          <cell r="C1633" t="str">
            <v>09</v>
          </cell>
          <cell r="D1633" t="str">
            <v>09</v>
          </cell>
          <cell r="E1633" t="str">
            <v>795 15 00</v>
          </cell>
          <cell r="F1633" t="str">
            <v>500</v>
          </cell>
        </row>
        <row r="1634">
          <cell r="A1634" t="str">
            <v>"Обеспечение санитарно-эпидимиологического благополучия  населения УРМО  на 2011-2013 г"</v>
          </cell>
          <cell r="B1634" t="str">
            <v>904</v>
          </cell>
          <cell r="C1634" t="str">
            <v>09</v>
          </cell>
          <cell r="D1634" t="str">
            <v>09</v>
          </cell>
          <cell r="E1634" t="str">
            <v>795 16 00</v>
          </cell>
          <cell r="F1634" t="str">
            <v>000</v>
          </cell>
        </row>
        <row r="1635">
          <cell r="A1635" t="str">
            <v>Выполнение функций органами местного самоуправления</v>
          </cell>
          <cell r="B1635" t="str">
            <v>904</v>
          </cell>
          <cell r="C1635" t="str">
            <v>09</v>
          </cell>
          <cell r="D1635" t="str">
            <v>09</v>
          </cell>
          <cell r="E1635" t="str">
            <v>795 16 00</v>
          </cell>
          <cell r="F1635" t="str">
            <v>500</v>
          </cell>
        </row>
        <row r="1636">
          <cell r="A1636" t="str">
            <v>Демографическое развитие УРМО на 2009-2012 гг</v>
          </cell>
          <cell r="B1636" t="str">
            <v>904</v>
          </cell>
          <cell r="C1636" t="str">
            <v>09</v>
          </cell>
          <cell r="D1636" t="str">
            <v>09</v>
          </cell>
          <cell r="E1636" t="str">
            <v>795 31 00</v>
          </cell>
          <cell r="F1636" t="str">
            <v>000</v>
          </cell>
        </row>
        <row r="1637">
          <cell r="A1637" t="str">
            <v>Выполнение функций органами местного самоуправления</v>
          </cell>
          <cell r="B1637" t="str">
            <v>904</v>
          </cell>
          <cell r="C1637" t="str">
            <v>09</v>
          </cell>
          <cell r="D1637" t="str">
            <v>09</v>
          </cell>
          <cell r="E1637" t="str">
            <v>795 31 00</v>
          </cell>
          <cell r="F1637" t="str">
            <v>500</v>
          </cell>
        </row>
        <row r="1638">
          <cell r="A1638" t="str">
            <v>Услуги по содержанию иммущества</v>
          </cell>
          <cell r="B1638" t="str">
            <v>904</v>
          </cell>
          <cell r="C1638" t="str">
            <v>09</v>
          </cell>
          <cell r="D1638" t="str">
            <v>09</v>
          </cell>
          <cell r="E1638" t="str">
            <v>795 00 00</v>
          </cell>
          <cell r="F1638" t="str">
            <v>500</v>
          </cell>
        </row>
        <row r="1639">
          <cell r="A1639" t="str">
            <v>Прочие услуги</v>
          </cell>
          <cell r="B1639" t="str">
            <v>904</v>
          </cell>
          <cell r="C1639" t="str">
            <v>09</v>
          </cell>
          <cell r="D1639" t="str">
            <v>09</v>
          </cell>
          <cell r="E1639" t="str">
            <v>795 00 00</v>
          </cell>
          <cell r="F1639" t="str">
            <v>500</v>
          </cell>
        </row>
        <row r="1640">
          <cell r="A1640" t="str">
            <v>Услуги по содержанию иммущества</v>
          </cell>
          <cell r="B1640" t="str">
            <v>904</v>
          </cell>
          <cell r="C1640" t="str">
            <v>09</v>
          </cell>
          <cell r="D1640" t="str">
            <v>09</v>
          </cell>
          <cell r="E1640" t="str">
            <v>795 16 00</v>
          </cell>
          <cell r="F1640" t="str">
            <v>500</v>
          </cell>
        </row>
        <row r="1641">
          <cell r="A1641" t="str">
            <v>Прочие услуги</v>
          </cell>
          <cell r="B1641" t="str">
            <v>904</v>
          </cell>
          <cell r="C1641" t="str">
            <v>09</v>
          </cell>
          <cell r="D1641" t="str">
            <v>09</v>
          </cell>
          <cell r="E1641" t="str">
            <v>795 11 00</v>
          </cell>
          <cell r="F1641" t="str">
            <v>500</v>
          </cell>
        </row>
        <row r="1642">
          <cell r="A1642" t="str">
            <v>Прочие услуги</v>
          </cell>
          <cell r="B1642" t="str">
            <v>904</v>
          </cell>
          <cell r="C1642" t="str">
            <v>09</v>
          </cell>
          <cell r="D1642" t="str">
            <v>09</v>
          </cell>
          <cell r="E1642" t="str">
            <v>795 12 00</v>
          </cell>
          <cell r="F1642" t="str">
            <v>500</v>
          </cell>
        </row>
        <row r="1643">
          <cell r="A1643" t="str">
            <v>Прочие услуги</v>
          </cell>
          <cell r="B1643" t="str">
            <v>904</v>
          </cell>
          <cell r="C1643" t="str">
            <v>09</v>
          </cell>
          <cell r="D1643" t="str">
            <v>09</v>
          </cell>
          <cell r="E1643" t="str">
            <v>795 13 00</v>
          </cell>
          <cell r="F1643" t="str">
            <v>500</v>
          </cell>
        </row>
        <row r="1644">
          <cell r="A1644" t="str">
            <v>Прочие услуги</v>
          </cell>
          <cell r="B1644" t="str">
            <v>904</v>
          </cell>
          <cell r="C1644" t="str">
            <v>09</v>
          </cell>
          <cell r="D1644" t="str">
            <v>09</v>
          </cell>
          <cell r="E1644" t="str">
            <v>795 14 00</v>
          </cell>
          <cell r="F1644" t="str">
            <v>500</v>
          </cell>
        </row>
        <row r="1645">
          <cell r="A1645" t="str">
            <v>Прочие услуги</v>
          </cell>
          <cell r="B1645" t="str">
            <v>904</v>
          </cell>
          <cell r="C1645" t="str">
            <v>09</v>
          </cell>
          <cell r="D1645" t="str">
            <v>09</v>
          </cell>
          <cell r="E1645" t="str">
            <v>795 15 00</v>
          </cell>
          <cell r="F1645" t="str">
            <v>500</v>
          </cell>
        </row>
        <row r="1646">
          <cell r="A1646" t="str">
            <v>Прочие услуги</v>
          </cell>
          <cell r="B1646" t="str">
            <v>904</v>
          </cell>
          <cell r="C1646" t="str">
            <v>09</v>
          </cell>
          <cell r="D1646" t="str">
            <v>09</v>
          </cell>
          <cell r="E1646" t="str">
            <v>795 31 00</v>
          </cell>
          <cell r="F1646" t="str">
            <v>500</v>
          </cell>
        </row>
        <row r="1647">
          <cell r="A1647" t="str">
            <v>Поступление нефинансовых активов</v>
          </cell>
          <cell r="B1647" t="str">
            <v>904</v>
          </cell>
          <cell r="C1647" t="str">
            <v>09</v>
          </cell>
          <cell r="D1647" t="str">
            <v>09</v>
          </cell>
          <cell r="E1647" t="str">
            <v>795 31 00</v>
          </cell>
          <cell r="F1647" t="str">
            <v>500</v>
          </cell>
        </row>
        <row r="1648">
          <cell r="A1648" t="str">
            <v>Увеличение стоимости материальных запасов</v>
          </cell>
          <cell r="B1648" t="str">
            <v>904</v>
          </cell>
          <cell r="C1648" t="str">
            <v>09</v>
          </cell>
          <cell r="D1648" t="str">
            <v>09</v>
          </cell>
          <cell r="E1648" t="str">
            <v>795 00 00</v>
          </cell>
          <cell r="F1648" t="str">
            <v>500</v>
          </cell>
        </row>
        <row r="1649">
          <cell r="A1649" t="str">
            <v>Увеличение стоимости основных средств</v>
          </cell>
          <cell r="B1649" t="str">
            <v>904</v>
          </cell>
          <cell r="C1649" t="str">
            <v>09</v>
          </cell>
          <cell r="D1649" t="str">
            <v>09</v>
          </cell>
          <cell r="E1649" t="str">
            <v>795 12 00</v>
          </cell>
          <cell r="F1649" t="str">
            <v>500</v>
          </cell>
        </row>
        <row r="1650">
          <cell r="A1650" t="str">
            <v>Увеличение стоимости основных средств</v>
          </cell>
          <cell r="B1650" t="str">
            <v>904</v>
          </cell>
          <cell r="C1650" t="str">
            <v>09</v>
          </cell>
          <cell r="D1650" t="str">
            <v>09</v>
          </cell>
          <cell r="E1650" t="str">
            <v>795 13 00</v>
          </cell>
          <cell r="F1650" t="str">
            <v>500</v>
          </cell>
        </row>
        <row r="1651">
          <cell r="A1651" t="str">
            <v>Увеличение стоимости основных средств</v>
          </cell>
          <cell r="B1651" t="str">
            <v>904</v>
          </cell>
          <cell r="C1651" t="str">
            <v>09</v>
          </cell>
          <cell r="D1651" t="str">
            <v>09</v>
          </cell>
          <cell r="E1651" t="str">
            <v>795 16 00</v>
          </cell>
          <cell r="F1651" t="str">
            <v>500</v>
          </cell>
        </row>
        <row r="1652">
          <cell r="A1652" t="str">
            <v>Увеличение стоимости основных средств</v>
          </cell>
          <cell r="B1652" t="str">
            <v>904</v>
          </cell>
          <cell r="C1652" t="str">
            <v>09</v>
          </cell>
          <cell r="D1652" t="str">
            <v>09</v>
          </cell>
          <cell r="E1652" t="str">
            <v>795 15 00</v>
          </cell>
          <cell r="F1652" t="str">
            <v>500</v>
          </cell>
        </row>
        <row r="1653">
          <cell r="A1653" t="str">
            <v>Увеличение стоимости основных средств</v>
          </cell>
          <cell r="B1653" t="str">
            <v>904</v>
          </cell>
          <cell r="C1653" t="str">
            <v>09</v>
          </cell>
          <cell r="D1653" t="str">
            <v>09</v>
          </cell>
          <cell r="E1653" t="str">
            <v>795 11 00</v>
          </cell>
          <cell r="F1653" t="str">
            <v>500</v>
          </cell>
        </row>
        <row r="1654">
          <cell r="A1654" t="str">
            <v>Увеличение стоимости основных средств</v>
          </cell>
          <cell r="B1654" t="str">
            <v>904</v>
          </cell>
          <cell r="C1654" t="str">
            <v>09</v>
          </cell>
          <cell r="D1654" t="str">
            <v>09</v>
          </cell>
          <cell r="E1654" t="str">
            <v>795 14 00</v>
          </cell>
          <cell r="F1654" t="str">
            <v>500</v>
          </cell>
        </row>
        <row r="1655">
          <cell r="A1655" t="str">
            <v>Увеличение стоимости материальных запасов</v>
          </cell>
          <cell r="B1655" t="str">
            <v>904</v>
          </cell>
          <cell r="C1655" t="str">
            <v>09</v>
          </cell>
          <cell r="D1655" t="str">
            <v>09</v>
          </cell>
          <cell r="E1655" t="str">
            <v>795 31 00</v>
          </cell>
          <cell r="F1655" t="str">
            <v>500</v>
          </cell>
        </row>
        <row r="1656">
          <cell r="A1656" t="str">
            <v>Увеличение стоимости материальных запасов</v>
          </cell>
          <cell r="B1656" t="str">
            <v>904</v>
          </cell>
          <cell r="C1656" t="str">
            <v>09</v>
          </cell>
          <cell r="D1656" t="str">
            <v>09</v>
          </cell>
          <cell r="E1656" t="str">
            <v>795 11 00</v>
          </cell>
          <cell r="F1656" t="str">
            <v>500</v>
          </cell>
        </row>
        <row r="1657">
          <cell r="A1657" t="str">
            <v>Увеличение стоимости материальных запасов</v>
          </cell>
          <cell r="B1657" t="str">
            <v>904</v>
          </cell>
          <cell r="C1657" t="str">
            <v>09</v>
          </cell>
          <cell r="D1657" t="str">
            <v>09</v>
          </cell>
          <cell r="E1657" t="str">
            <v>795 13 00</v>
          </cell>
          <cell r="F1657" t="str">
            <v>500</v>
          </cell>
        </row>
        <row r="1658">
          <cell r="A1658" t="str">
            <v>Увеличение стоимости материальных запасов</v>
          </cell>
          <cell r="B1658" t="str">
            <v>904</v>
          </cell>
          <cell r="C1658" t="str">
            <v>09</v>
          </cell>
          <cell r="D1658" t="str">
            <v>09</v>
          </cell>
          <cell r="E1658" t="str">
            <v>795 14 00</v>
          </cell>
          <cell r="F1658" t="str">
            <v>500</v>
          </cell>
        </row>
        <row r="1659">
          <cell r="A1659" t="str">
            <v>Увеличение стоимости материальных запасов</v>
          </cell>
          <cell r="B1659" t="str">
            <v>904</v>
          </cell>
          <cell r="C1659" t="str">
            <v>09</v>
          </cell>
          <cell r="D1659" t="str">
            <v>09</v>
          </cell>
          <cell r="E1659" t="str">
            <v>795 15 00</v>
          </cell>
          <cell r="F1659" t="str">
            <v>500</v>
          </cell>
        </row>
        <row r="1660">
          <cell r="A1660" t="str">
            <v>Здравоохранение и спорт</v>
          </cell>
          <cell r="C1660" t="str">
            <v>09</v>
          </cell>
          <cell r="D1660" t="str">
            <v>00</v>
          </cell>
          <cell r="E1660" t="str">
            <v>000 00 00</v>
          </cell>
          <cell r="F1660" t="str">
            <v>000</v>
          </cell>
        </row>
        <row r="1661">
          <cell r="A1661" t="str">
            <v>Расходы</v>
          </cell>
          <cell r="C1661" t="str">
            <v>09</v>
          </cell>
          <cell r="D1661" t="str">
            <v>00</v>
          </cell>
          <cell r="E1661" t="str">
            <v>000 00 00</v>
          </cell>
          <cell r="F1661" t="str">
            <v>000</v>
          </cell>
        </row>
        <row r="1662">
          <cell r="A1662" t="str">
            <v>Оплата труда и начисления на оплату труда</v>
          </cell>
          <cell r="C1662" t="str">
            <v>09</v>
          </cell>
          <cell r="D1662" t="str">
            <v>00</v>
          </cell>
          <cell r="E1662" t="str">
            <v>000 00 00</v>
          </cell>
          <cell r="F1662" t="str">
            <v>000</v>
          </cell>
        </row>
        <row r="1663">
          <cell r="A1663" t="str">
            <v>Заработная плата</v>
          </cell>
          <cell r="C1663" t="str">
            <v>09</v>
          </cell>
          <cell r="D1663" t="str">
            <v>00</v>
          </cell>
          <cell r="E1663" t="str">
            <v>000 00 00</v>
          </cell>
          <cell r="F1663" t="str">
            <v>000</v>
          </cell>
        </row>
        <row r="1664">
          <cell r="A1664" t="str">
            <v>Прочие выплаты</v>
          </cell>
          <cell r="C1664" t="str">
            <v>09</v>
          </cell>
          <cell r="D1664" t="str">
            <v>00</v>
          </cell>
          <cell r="E1664" t="str">
            <v>000 00 00</v>
          </cell>
          <cell r="F1664" t="str">
            <v>000</v>
          </cell>
        </row>
        <row r="1665">
          <cell r="A1665" t="str">
            <v>Начисление на оплату труда</v>
          </cell>
          <cell r="C1665" t="str">
            <v>09</v>
          </cell>
          <cell r="D1665" t="str">
            <v>00</v>
          </cell>
          <cell r="E1665" t="str">
            <v>000 00 00</v>
          </cell>
          <cell r="F1665" t="str">
            <v>000</v>
          </cell>
        </row>
        <row r="1666">
          <cell r="A1666" t="str">
            <v>Приобретение услуг</v>
          </cell>
          <cell r="C1666" t="str">
            <v>09</v>
          </cell>
          <cell r="D1666" t="str">
            <v>00</v>
          </cell>
          <cell r="E1666" t="str">
            <v>000 00 00</v>
          </cell>
          <cell r="F1666" t="str">
            <v>000</v>
          </cell>
        </row>
        <row r="1667">
          <cell r="A1667" t="str">
            <v>Услуги связи </v>
          </cell>
          <cell r="C1667" t="str">
            <v>09</v>
          </cell>
          <cell r="D1667" t="str">
            <v>00</v>
          </cell>
          <cell r="E1667" t="str">
            <v>000 00 00</v>
          </cell>
          <cell r="F1667" t="str">
            <v>000</v>
          </cell>
        </row>
        <row r="1668">
          <cell r="A1668" t="str">
            <v>Транспортные услуги</v>
          </cell>
          <cell r="C1668" t="str">
            <v>09</v>
          </cell>
          <cell r="D1668" t="str">
            <v>00</v>
          </cell>
          <cell r="E1668" t="str">
            <v>000 00 00</v>
          </cell>
          <cell r="F1668" t="str">
            <v>000</v>
          </cell>
        </row>
        <row r="1669">
          <cell r="A1669" t="str">
            <v>Коммунальные услуги</v>
          </cell>
          <cell r="C1669" t="str">
            <v>09</v>
          </cell>
          <cell r="D1669" t="str">
            <v>00</v>
          </cell>
          <cell r="E1669" t="str">
            <v>000 00 00</v>
          </cell>
          <cell r="F1669" t="str">
            <v>000</v>
          </cell>
        </row>
        <row r="1670">
          <cell r="A1670" t="str">
            <v>Арендная плата за пользование иммуществом </v>
          </cell>
          <cell r="C1670" t="str">
            <v>09</v>
          </cell>
          <cell r="D1670" t="str">
            <v>00</v>
          </cell>
          <cell r="E1670" t="str">
            <v>000 00 00</v>
          </cell>
          <cell r="F1670" t="str">
            <v>000</v>
          </cell>
        </row>
        <row r="1671">
          <cell r="A1671" t="str">
            <v>Услуги по содержанию иммущества</v>
          </cell>
          <cell r="C1671" t="str">
            <v>09</v>
          </cell>
          <cell r="D1671" t="str">
            <v>00</v>
          </cell>
          <cell r="E1671" t="str">
            <v>000 00 00</v>
          </cell>
          <cell r="F1671" t="str">
            <v>000</v>
          </cell>
        </row>
        <row r="1672">
          <cell r="A1672" t="str">
            <v>Прочие услуги</v>
          </cell>
          <cell r="C1672" t="str">
            <v>09</v>
          </cell>
          <cell r="D1672" t="str">
            <v>00</v>
          </cell>
          <cell r="E1672" t="str">
            <v>000 00 00</v>
          </cell>
          <cell r="F1672" t="str">
            <v>000</v>
          </cell>
        </row>
        <row r="1673">
          <cell r="A1673" t="str">
            <v>Прочие расходы</v>
          </cell>
          <cell r="C1673" t="str">
            <v>09</v>
          </cell>
          <cell r="D1673" t="str">
            <v>00</v>
          </cell>
          <cell r="E1673" t="str">
            <v>000 00 00</v>
          </cell>
          <cell r="F1673" t="str">
            <v>000</v>
          </cell>
        </row>
        <row r="1674">
          <cell r="A1674" t="str">
            <v>Поступление нефинансовых активов</v>
          </cell>
          <cell r="C1674" t="str">
            <v>09</v>
          </cell>
          <cell r="D1674" t="str">
            <v>00</v>
          </cell>
          <cell r="E1674" t="str">
            <v>000 00 00</v>
          </cell>
          <cell r="F1674" t="str">
            <v>000</v>
          </cell>
        </row>
        <row r="1675">
          <cell r="A1675" t="str">
            <v>Увеличение стоимости основных средств</v>
          </cell>
          <cell r="C1675" t="str">
            <v>09</v>
          </cell>
          <cell r="D1675" t="str">
            <v>00</v>
          </cell>
          <cell r="E1675" t="str">
            <v>000 00 00</v>
          </cell>
          <cell r="F1675" t="str">
            <v>000</v>
          </cell>
        </row>
        <row r="1676">
          <cell r="A1676" t="str">
            <v>Увеличение стоимости материальных запасов</v>
          </cell>
          <cell r="C1676" t="str">
            <v>09</v>
          </cell>
          <cell r="D1676" t="str">
            <v>00</v>
          </cell>
          <cell r="E1676" t="str">
            <v>000 00 00</v>
          </cell>
          <cell r="F1676" t="str">
            <v>000</v>
          </cell>
        </row>
        <row r="1677">
          <cell r="A1677" t="str">
            <v>Безвозмездные и безвозвратные перечисления организациям</v>
          </cell>
          <cell r="C1677" t="str">
            <v>09</v>
          </cell>
          <cell r="D1677" t="str">
            <v>00</v>
          </cell>
          <cell r="E1677" t="str">
            <v>000 00 00</v>
          </cell>
          <cell r="F1677" t="str">
            <v>000</v>
          </cell>
        </row>
        <row r="1678">
          <cell r="A1678" t="str">
            <v>Безвозмездные и безвозвратные перечисления государственным и муниципальным организациям</v>
          </cell>
          <cell r="C1678" t="str">
            <v>09</v>
          </cell>
          <cell r="D1678" t="str">
            <v>00</v>
          </cell>
          <cell r="E1678" t="str">
            <v>000 00 00</v>
          </cell>
          <cell r="F1678" t="str">
            <v>000 </v>
          </cell>
        </row>
        <row r="1679">
          <cell r="A1679" t="str">
            <v>Безвозмездные и безвозвратные перичисления бюджетам</v>
          </cell>
          <cell r="C1679" t="str">
            <v>09</v>
          </cell>
          <cell r="D1679" t="str">
            <v>00</v>
          </cell>
          <cell r="E1679" t="str">
            <v>000 00 00</v>
          </cell>
          <cell r="F1679" t="str">
            <v>000</v>
          </cell>
        </row>
        <row r="1680">
          <cell r="A1680" t="str">
            <v>Перечисления другим бюджетам бюджетной системы РФ</v>
          </cell>
          <cell r="C1680" t="str">
            <v>09</v>
          </cell>
          <cell r="D1680" t="str">
            <v>00</v>
          </cell>
          <cell r="E1680" t="str">
            <v>000 00 00</v>
          </cell>
          <cell r="F1680" t="str">
            <v>000</v>
          </cell>
        </row>
        <row r="1681">
          <cell r="A1681" t="str">
            <v>Пособие по социальной помощи населению </v>
          </cell>
          <cell r="C1681" t="str">
            <v>09</v>
          </cell>
          <cell r="D1681" t="str">
            <v>00</v>
          </cell>
          <cell r="E1681" t="str">
            <v>000 00 00</v>
          </cell>
          <cell r="F1681" t="str">
            <v>000</v>
          </cell>
        </row>
        <row r="1682">
          <cell r="A1682" t="str">
            <v>ИТОГО:</v>
          </cell>
          <cell r="C1682" t="str">
            <v>09</v>
          </cell>
          <cell r="D1682" t="str">
            <v>00</v>
          </cell>
          <cell r="E1682" t="str">
            <v>000 00 00</v>
          </cell>
          <cell r="F1682" t="str">
            <v>000</v>
          </cell>
        </row>
        <row r="1683">
          <cell r="A1683" t="str">
            <v>Социальная политика</v>
          </cell>
          <cell r="C1683" t="str">
            <v>10</v>
          </cell>
          <cell r="D1683" t="str">
            <v>00</v>
          </cell>
          <cell r="E1683" t="str">
            <v>000 00 00</v>
          </cell>
          <cell r="F1683" t="str">
            <v>000</v>
          </cell>
        </row>
        <row r="1684">
          <cell r="A1684" t="str">
            <v>Пенсионное обеспечение </v>
          </cell>
          <cell r="B1684" t="str">
            <v>902</v>
          </cell>
          <cell r="C1684" t="str">
            <v>10</v>
          </cell>
          <cell r="D1684" t="str">
            <v>01</v>
          </cell>
          <cell r="E1684" t="str">
            <v>000 00 00</v>
          </cell>
          <cell r="F1684" t="str">
            <v>000</v>
          </cell>
        </row>
        <row r="1685">
          <cell r="A1685" t="str">
            <v>Пенсии </v>
          </cell>
          <cell r="B1685" t="str">
            <v>902</v>
          </cell>
          <cell r="C1685" t="str">
            <v>10</v>
          </cell>
          <cell r="D1685" t="str">
            <v>01</v>
          </cell>
          <cell r="E1685" t="str">
            <v>490 00 00</v>
          </cell>
          <cell r="F1685" t="str">
            <v>000</v>
          </cell>
        </row>
        <row r="1686">
          <cell r="A1686" t="str">
            <v>Доплаты к пенсиям государственных служащих субъектов РФ и муниципальных служащих</v>
          </cell>
          <cell r="B1686" t="str">
            <v>902</v>
          </cell>
          <cell r="C1686" t="str">
            <v>10</v>
          </cell>
          <cell r="D1686" t="str">
            <v>01</v>
          </cell>
          <cell r="E1686" t="str">
            <v>491 01 00</v>
          </cell>
          <cell r="F1686" t="str">
            <v>000</v>
          </cell>
        </row>
        <row r="1687">
          <cell r="A1687" t="str">
            <v>Социальные выплаты</v>
          </cell>
          <cell r="B1687" t="str">
            <v>902</v>
          </cell>
          <cell r="C1687" t="str">
            <v>10</v>
          </cell>
          <cell r="D1687" t="str">
            <v>01</v>
          </cell>
          <cell r="E1687" t="str">
            <v>491 01 00</v>
          </cell>
          <cell r="F1687" t="str">
            <v>005</v>
          </cell>
        </row>
        <row r="1688">
          <cell r="A1688" t="str">
            <v>Расходы</v>
          </cell>
          <cell r="B1688" t="str">
            <v>902</v>
          </cell>
          <cell r="C1688" t="str">
            <v>10</v>
          </cell>
          <cell r="D1688" t="str">
            <v>01</v>
          </cell>
          <cell r="E1688" t="str">
            <v>491 01 00</v>
          </cell>
          <cell r="F1688" t="str">
            <v>005</v>
          </cell>
        </row>
        <row r="1689">
          <cell r="A1689" t="str">
            <v>Социальное обеспечение </v>
          </cell>
          <cell r="B1689" t="str">
            <v>902</v>
          </cell>
          <cell r="C1689" t="str">
            <v>10</v>
          </cell>
          <cell r="D1689" t="str">
            <v>01</v>
          </cell>
          <cell r="E1689" t="str">
            <v>491 01 00</v>
          </cell>
          <cell r="F1689" t="str">
            <v>005</v>
          </cell>
        </row>
        <row r="1690">
          <cell r="A1690" t="str">
            <v>Пенсии, пособия, выплачиваемые организациями сектора государственного управления</v>
          </cell>
          <cell r="B1690" t="str">
            <v>902</v>
          </cell>
          <cell r="C1690" t="str">
            <v>10</v>
          </cell>
          <cell r="D1690" t="str">
            <v>01</v>
          </cell>
          <cell r="E1690" t="str">
            <v>491 01 00</v>
          </cell>
          <cell r="F1690" t="str">
            <v>005</v>
          </cell>
        </row>
        <row r="1691">
          <cell r="A1691" t="str">
            <v>Пенсии, пособия, выплачиваемые организациями сектора государственного управления </v>
          </cell>
          <cell r="B1691" t="str">
            <v>902</v>
          </cell>
          <cell r="C1691" t="str">
            <v>10</v>
          </cell>
          <cell r="D1691" t="str">
            <v>02</v>
          </cell>
          <cell r="E1691" t="str">
            <v>000 00 00</v>
          </cell>
          <cell r="F1691" t="str">
            <v>000</v>
          </cell>
        </row>
        <row r="1692">
          <cell r="A1692" t="str">
            <v>Пенсии, пособия, выплачиваемые организациями сектора государственного управления </v>
          </cell>
          <cell r="B1692" t="str">
            <v>902</v>
          </cell>
          <cell r="C1692" t="str">
            <v>10</v>
          </cell>
          <cell r="D1692" t="str">
            <v>02</v>
          </cell>
          <cell r="E1692" t="str">
            <v>501 00 00</v>
          </cell>
          <cell r="F1692" t="str">
            <v>000</v>
          </cell>
        </row>
        <row r="1693">
          <cell r="A1693" t="str">
            <v>Пенсии, пособия, выплачиваемые организациями сектора государственного управления </v>
          </cell>
          <cell r="B1693" t="str">
            <v>902</v>
          </cell>
          <cell r="C1693" t="str">
            <v>10</v>
          </cell>
          <cell r="D1693" t="str">
            <v>02</v>
          </cell>
          <cell r="E1693" t="str">
            <v>501 00 00</v>
          </cell>
          <cell r="F1693" t="str">
            <v>327</v>
          </cell>
        </row>
        <row r="1694">
          <cell r="A1694" t="str">
            <v>Пенсии, пособия, выплачиваемые организациями сектора государственного управления </v>
          </cell>
          <cell r="B1694" t="str">
            <v>902</v>
          </cell>
          <cell r="C1694" t="str">
            <v>10</v>
          </cell>
          <cell r="D1694" t="str">
            <v>02</v>
          </cell>
          <cell r="E1694" t="str">
            <v>501 00 00</v>
          </cell>
          <cell r="F1694" t="str">
            <v>327</v>
          </cell>
        </row>
        <row r="1695">
          <cell r="A1695" t="str">
            <v>Пенсии, пособия, выплачиваемые организациями сектора государственного управления </v>
          </cell>
          <cell r="B1695" t="str">
            <v>902</v>
          </cell>
          <cell r="C1695" t="str">
            <v>10</v>
          </cell>
          <cell r="D1695" t="str">
            <v>02</v>
          </cell>
          <cell r="E1695" t="str">
            <v>501 00 00</v>
          </cell>
          <cell r="F1695" t="str">
            <v>327</v>
          </cell>
        </row>
        <row r="1696">
          <cell r="A1696" t="str">
            <v>Пенсии, пособия, выплачиваемые организациями сектора государственного управления </v>
          </cell>
          <cell r="B1696" t="str">
            <v>902</v>
          </cell>
          <cell r="C1696" t="str">
            <v>10</v>
          </cell>
          <cell r="D1696" t="str">
            <v>02</v>
          </cell>
          <cell r="E1696" t="str">
            <v>501 00 00</v>
          </cell>
          <cell r="F1696" t="str">
            <v>327</v>
          </cell>
        </row>
        <row r="1697">
          <cell r="A1697" t="str">
            <v>Пенсии, пособия, выплачиваемые организациями сектора государственного управления </v>
          </cell>
          <cell r="B1697" t="str">
            <v>902</v>
          </cell>
          <cell r="C1697" t="str">
            <v>10</v>
          </cell>
          <cell r="D1697" t="str">
            <v>02</v>
          </cell>
          <cell r="E1697" t="str">
            <v>501 00 00</v>
          </cell>
          <cell r="F1697" t="str">
            <v>327</v>
          </cell>
        </row>
        <row r="1698">
          <cell r="A1698" t="str">
            <v>Пенсии, пособия, выплачиваемые организациями сектора государственного управления </v>
          </cell>
          <cell r="B1698" t="str">
            <v>902</v>
          </cell>
          <cell r="C1698" t="str">
            <v>10</v>
          </cell>
          <cell r="D1698" t="str">
            <v>02</v>
          </cell>
          <cell r="E1698" t="str">
            <v>501 00 00</v>
          </cell>
          <cell r="F1698" t="str">
            <v>327</v>
          </cell>
        </row>
        <row r="1699">
          <cell r="A1699" t="str">
            <v>Пенсии, пособия, выплачиваемые организациями сектора государственного управления </v>
          </cell>
          <cell r="B1699" t="str">
            <v>902</v>
          </cell>
          <cell r="C1699" t="str">
            <v>10</v>
          </cell>
          <cell r="D1699" t="str">
            <v>02</v>
          </cell>
          <cell r="E1699" t="str">
            <v>501 00 00</v>
          </cell>
          <cell r="F1699" t="str">
            <v>327</v>
          </cell>
        </row>
        <row r="1700">
          <cell r="A1700" t="str">
            <v>Пенсии, пособия, выплачиваемые организациями сектора государственного управления </v>
          </cell>
          <cell r="B1700" t="str">
            <v>902</v>
          </cell>
          <cell r="C1700" t="str">
            <v>10</v>
          </cell>
          <cell r="D1700" t="str">
            <v>02</v>
          </cell>
          <cell r="E1700" t="str">
            <v>501 00 00</v>
          </cell>
          <cell r="F1700" t="str">
            <v>327</v>
          </cell>
        </row>
        <row r="1701">
          <cell r="A1701" t="str">
            <v>Пенсии, пособия, выплачиваемые организациями сектора государственного управления </v>
          </cell>
          <cell r="B1701" t="str">
            <v>902</v>
          </cell>
          <cell r="C1701" t="str">
            <v>10</v>
          </cell>
          <cell r="D1701" t="str">
            <v>02</v>
          </cell>
          <cell r="E1701" t="str">
            <v>501 00 00</v>
          </cell>
          <cell r="F1701" t="str">
            <v>327</v>
          </cell>
        </row>
        <row r="1702">
          <cell r="A1702" t="str">
            <v>Пенсии, пособия, выплачиваемые организациями сектора государственного управления </v>
          </cell>
          <cell r="B1702" t="str">
            <v>902</v>
          </cell>
          <cell r="C1702" t="str">
            <v>10</v>
          </cell>
          <cell r="D1702" t="str">
            <v>02</v>
          </cell>
          <cell r="E1702" t="str">
            <v>501 00 00</v>
          </cell>
          <cell r="F1702" t="str">
            <v>327</v>
          </cell>
        </row>
        <row r="1703">
          <cell r="A1703" t="str">
            <v>Пенсии, пособия, выплачиваемые организациями сектора государственного управления </v>
          </cell>
          <cell r="B1703" t="str">
            <v>902</v>
          </cell>
          <cell r="C1703" t="str">
            <v>10</v>
          </cell>
          <cell r="D1703" t="str">
            <v>02</v>
          </cell>
          <cell r="E1703" t="str">
            <v>501 00 00</v>
          </cell>
          <cell r="F1703" t="str">
            <v>327</v>
          </cell>
        </row>
        <row r="1704">
          <cell r="A1704" t="str">
            <v>Пенсии, пособия, выплачиваемые организациями сектора государственного управления </v>
          </cell>
          <cell r="B1704" t="str">
            <v>902</v>
          </cell>
          <cell r="C1704" t="str">
            <v>10</v>
          </cell>
          <cell r="D1704" t="str">
            <v>02</v>
          </cell>
          <cell r="E1704" t="str">
            <v>501 00 00</v>
          </cell>
          <cell r="F1704" t="str">
            <v>327</v>
          </cell>
        </row>
        <row r="1705">
          <cell r="A1705" t="str">
            <v>Пенсии, пособия, выплачиваемые организациями сектора государственного управления </v>
          </cell>
          <cell r="B1705" t="str">
            <v>902</v>
          </cell>
          <cell r="C1705" t="str">
            <v>10</v>
          </cell>
          <cell r="D1705" t="str">
            <v>02</v>
          </cell>
          <cell r="E1705" t="str">
            <v>501 00 00</v>
          </cell>
          <cell r="F1705" t="str">
            <v>327</v>
          </cell>
        </row>
        <row r="1706">
          <cell r="A1706" t="str">
            <v>Пенсии, пособия, выплачиваемые организациями сектора государственного управления </v>
          </cell>
          <cell r="B1706" t="str">
            <v>902</v>
          </cell>
          <cell r="C1706" t="str">
            <v>10</v>
          </cell>
          <cell r="D1706" t="str">
            <v>02</v>
          </cell>
          <cell r="E1706" t="str">
            <v>501 00 00</v>
          </cell>
          <cell r="F1706" t="str">
            <v>327</v>
          </cell>
        </row>
        <row r="1707">
          <cell r="A1707" t="str">
            <v>Пенсии, пособия, выплачиваемые организациями сектора государственного управления </v>
          </cell>
          <cell r="B1707" t="str">
            <v>902</v>
          </cell>
          <cell r="C1707" t="str">
            <v>10</v>
          </cell>
          <cell r="D1707" t="str">
            <v>02</v>
          </cell>
          <cell r="E1707" t="str">
            <v>501 00 00</v>
          </cell>
          <cell r="F1707" t="str">
            <v>327</v>
          </cell>
        </row>
        <row r="1708">
          <cell r="A1708" t="str">
            <v>Пенсии, пособия, выплачиваемые организациями сектора государственного управления </v>
          </cell>
          <cell r="B1708" t="str">
            <v>902</v>
          </cell>
          <cell r="C1708" t="str">
            <v>10</v>
          </cell>
          <cell r="D1708" t="str">
            <v>02</v>
          </cell>
          <cell r="E1708" t="str">
            <v>501 00 00</v>
          </cell>
          <cell r="F1708" t="str">
            <v>327</v>
          </cell>
        </row>
        <row r="1709">
          <cell r="B1709" t="str">
            <v>902</v>
          </cell>
        </row>
        <row r="1710">
          <cell r="B1710" t="str">
            <v>902</v>
          </cell>
        </row>
        <row r="1711">
          <cell r="A1711" t="str">
            <v>Учреждения социального обслуживания населения </v>
          </cell>
          <cell r="B1711" t="str">
            <v>902</v>
          </cell>
          <cell r="C1711" t="str">
            <v>10</v>
          </cell>
          <cell r="D1711" t="str">
            <v>02</v>
          </cell>
          <cell r="E1711" t="str">
            <v>506 00 00</v>
          </cell>
          <cell r="F1711" t="str">
            <v>000 </v>
          </cell>
        </row>
        <row r="1712">
          <cell r="A1712" t="str">
            <v>Обеспечение деятельности подведомственных учреждений</v>
          </cell>
          <cell r="B1712" t="str">
            <v>902</v>
          </cell>
          <cell r="C1712" t="str">
            <v>10</v>
          </cell>
          <cell r="D1712" t="str">
            <v>02</v>
          </cell>
          <cell r="E1712" t="str">
            <v>506 00 00</v>
          </cell>
          <cell r="F1712" t="str">
            <v>327</v>
          </cell>
        </row>
        <row r="1713">
          <cell r="A1713" t="str">
            <v>Оплата труда и начисления на оплату труда</v>
          </cell>
          <cell r="B1713" t="str">
            <v>902</v>
          </cell>
          <cell r="C1713" t="str">
            <v>10</v>
          </cell>
          <cell r="D1713" t="str">
            <v>02</v>
          </cell>
          <cell r="E1713" t="str">
            <v>506 00 00</v>
          </cell>
          <cell r="F1713" t="str">
            <v>327</v>
          </cell>
        </row>
        <row r="1714">
          <cell r="A1714" t="str">
            <v>Заработная плата</v>
          </cell>
          <cell r="B1714" t="str">
            <v>902</v>
          </cell>
          <cell r="C1714" t="str">
            <v>10</v>
          </cell>
          <cell r="D1714" t="str">
            <v>02</v>
          </cell>
          <cell r="E1714" t="str">
            <v>506 00 00</v>
          </cell>
          <cell r="F1714" t="str">
            <v>327</v>
          </cell>
        </row>
        <row r="1715">
          <cell r="A1715" t="str">
            <v>Прочие выплаты</v>
          </cell>
          <cell r="B1715" t="str">
            <v>902</v>
          </cell>
          <cell r="C1715" t="str">
            <v>10</v>
          </cell>
          <cell r="D1715" t="str">
            <v>02</v>
          </cell>
          <cell r="E1715" t="str">
            <v>506 00 00</v>
          </cell>
          <cell r="F1715" t="str">
            <v>327</v>
          </cell>
        </row>
        <row r="1716">
          <cell r="A1716" t="str">
            <v>Начисление на оплату труда</v>
          </cell>
          <cell r="B1716" t="str">
            <v>902</v>
          </cell>
          <cell r="C1716" t="str">
            <v>10</v>
          </cell>
          <cell r="D1716" t="str">
            <v>02</v>
          </cell>
          <cell r="E1716" t="str">
            <v>506 00 00</v>
          </cell>
          <cell r="F1716" t="str">
            <v>327</v>
          </cell>
        </row>
        <row r="1717">
          <cell r="A1717" t="str">
            <v>Приобретение услуг</v>
          </cell>
          <cell r="B1717" t="str">
            <v>902</v>
          </cell>
          <cell r="C1717" t="str">
            <v>10</v>
          </cell>
          <cell r="D1717" t="str">
            <v>02</v>
          </cell>
          <cell r="E1717" t="str">
            <v>506 00 00</v>
          </cell>
          <cell r="F1717" t="str">
            <v>327</v>
          </cell>
        </row>
        <row r="1718">
          <cell r="A1718" t="str">
            <v>Услуги связи </v>
          </cell>
          <cell r="B1718" t="str">
            <v>902</v>
          </cell>
          <cell r="C1718" t="str">
            <v>10</v>
          </cell>
          <cell r="D1718" t="str">
            <v>02</v>
          </cell>
          <cell r="E1718" t="str">
            <v>506 00 00</v>
          </cell>
          <cell r="F1718" t="str">
            <v>327</v>
          </cell>
        </row>
        <row r="1719">
          <cell r="A1719" t="str">
            <v>Транспортные услуги</v>
          </cell>
          <cell r="B1719" t="str">
            <v>902</v>
          </cell>
          <cell r="C1719" t="str">
            <v>10</v>
          </cell>
          <cell r="D1719" t="str">
            <v>02</v>
          </cell>
          <cell r="E1719" t="str">
            <v>506 00 00</v>
          </cell>
          <cell r="F1719" t="str">
            <v>327</v>
          </cell>
        </row>
        <row r="1720">
          <cell r="A1720" t="str">
            <v>Коммунальные услуги</v>
          </cell>
          <cell r="B1720" t="str">
            <v>902</v>
          </cell>
          <cell r="C1720" t="str">
            <v>10</v>
          </cell>
          <cell r="D1720" t="str">
            <v>02</v>
          </cell>
          <cell r="E1720" t="str">
            <v>506 00 00</v>
          </cell>
          <cell r="F1720" t="str">
            <v>327</v>
          </cell>
        </row>
        <row r="1721">
          <cell r="A1721" t="str">
            <v>Арендная плата за пользование иммуществом </v>
          </cell>
          <cell r="B1721" t="str">
            <v>902</v>
          </cell>
          <cell r="C1721" t="str">
            <v>10</v>
          </cell>
          <cell r="D1721" t="str">
            <v>02</v>
          </cell>
          <cell r="E1721" t="str">
            <v>506 00 00</v>
          </cell>
          <cell r="F1721" t="str">
            <v>327</v>
          </cell>
        </row>
        <row r="1722">
          <cell r="A1722" t="str">
            <v>Услуги по содержанию иммущества</v>
          </cell>
          <cell r="B1722" t="str">
            <v>902</v>
          </cell>
          <cell r="C1722" t="str">
            <v>10</v>
          </cell>
          <cell r="D1722" t="str">
            <v>02</v>
          </cell>
          <cell r="E1722" t="str">
            <v>506 00 00</v>
          </cell>
          <cell r="F1722" t="str">
            <v>327</v>
          </cell>
        </row>
        <row r="1723">
          <cell r="A1723" t="str">
            <v>Прочие услуги</v>
          </cell>
          <cell r="B1723" t="str">
            <v>902</v>
          </cell>
          <cell r="C1723" t="str">
            <v>10</v>
          </cell>
          <cell r="D1723" t="str">
            <v>02</v>
          </cell>
          <cell r="E1723" t="str">
            <v>506 00 00</v>
          </cell>
          <cell r="F1723" t="str">
            <v>327</v>
          </cell>
        </row>
        <row r="1724">
          <cell r="A1724" t="str">
            <v>Прочие расходы </v>
          </cell>
          <cell r="B1724" t="str">
            <v>902</v>
          </cell>
          <cell r="C1724" t="str">
            <v>10</v>
          </cell>
          <cell r="D1724" t="str">
            <v>02</v>
          </cell>
          <cell r="E1724" t="str">
            <v>506 00 00</v>
          </cell>
          <cell r="F1724" t="str">
            <v>327</v>
          </cell>
        </row>
        <row r="1725">
          <cell r="A1725" t="str">
            <v>Поступление нефинансовых активов</v>
          </cell>
          <cell r="B1725" t="str">
            <v>902</v>
          </cell>
          <cell r="C1725" t="str">
            <v>10</v>
          </cell>
          <cell r="D1725" t="str">
            <v>02</v>
          </cell>
          <cell r="E1725" t="str">
            <v>506 00 00</v>
          </cell>
          <cell r="F1725" t="str">
            <v>327</v>
          </cell>
        </row>
        <row r="1726">
          <cell r="A1726" t="str">
            <v>Увеличение стоимости основных средств</v>
          </cell>
          <cell r="B1726" t="str">
            <v>902</v>
          </cell>
          <cell r="C1726" t="str">
            <v>10</v>
          </cell>
          <cell r="D1726" t="str">
            <v>02</v>
          </cell>
          <cell r="E1726" t="str">
            <v>506 00 00</v>
          </cell>
          <cell r="F1726" t="str">
            <v>327</v>
          </cell>
        </row>
        <row r="1727">
          <cell r="A1727" t="str">
            <v>Увеличение стоимости материальных запасов</v>
          </cell>
          <cell r="B1727" t="str">
            <v>902</v>
          </cell>
          <cell r="C1727" t="str">
            <v>10</v>
          </cell>
          <cell r="D1727" t="str">
            <v>02</v>
          </cell>
          <cell r="E1727" t="str">
            <v>506 00 00</v>
          </cell>
          <cell r="F1727" t="str">
            <v>327</v>
          </cell>
        </row>
        <row r="1728">
          <cell r="A1728" t="str">
            <v>Социальное обеспечение населения </v>
          </cell>
          <cell r="B1728" t="str">
            <v>902</v>
          </cell>
          <cell r="C1728" t="str">
            <v>10</v>
          </cell>
          <cell r="D1728" t="str">
            <v>03</v>
          </cell>
          <cell r="E1728" t="str">
            <v>000 00 00</v>
          </cell>
          <cell r="F1728" t="str">
            <v>000</v>
          </cell>
        </row>
        <row r="1729">
          <cell r="A1729" t="str">
            <v>Фонд софинансирования социальных расходов </v>
          </cell>
          <cell r="B1729" t="str">
            <v>902</v>
          </cell>
          <cell r="C1729" t="str">
            <v>10</v>
          </cell>
          <cell r="D1729" t="str">
            <v>03</v>
          </cell>
          <cell r="E1729" t="str">
            <v>515 00 00</v>
          </cell>
          <cell r="F1729" t="str">
            <v>000 </v>
          </cell>
        </row>
        <row r="1730">
          <cell r="A1730" t="str">
            <v>Предоставление льгот ветеранам труда за счет средств бюджетов субъектов РФ и местных бюджетов </v>
          </cell>
          <cell r="B1730" t="str">
            <v>902</v>
          </cell>
          <cell r="C1730" t="str">
            <v>10</v>
          </cell>
          <cell r="D1730" t="str">
            <v>03</v>
          </cell>
          <cell r="E1730" t="str">
            <v>515 00 00</v>
          </cell>
          <cell r="F1730" t="str">
            <v>563</v>
          </cell>
        </row>
        <row r="1731">
          <cell r="A1731" t="str">
            <v>Пособие по социальной помощи населению </v>
          </cell>
          <cell r="B1731" t="str">
            <v>902</v>
          </cell>
          <cell r="C1731" t="str">
            <v>10</v>
          </cell>
          <cell r="D1731" t="str">
            <v>03</v>
          </cell>
          <cell r="E1731" t="str">
            <v>515 00 00</v>
          </cell>
          <cell r="F1731" t="str">
            <v>563</v>
          </cell>
        </row>
        <row r="1732">
          <cell r="A1732" t="str">
            <v>Дотации и субвенции </v>
          </cell>
          <cell r="B1732" t="str">
            <v>902</v>
          </cell>
          <cell r="C1732" t="str">
            <v>10</v>
          </cell>
          <cell r="D1732" t="str">
            <v>03</v>
          </cell>
          <cell r="E1732" t="str">
            <v>517 00 00</v>
          </cell>
          <cell r="F1732" t="str">
            <v>000</v>
          </cell>
        </row>
        <row r="1733">
          <cell r="A1733" t="str">
            <v>Погашение задолженности бюджетов по обязательствам, вытекающим из закона РФ " О реабилитации жертв политических репрессий" </v>
          </cell>
          <cell r="B1733" t="str">
            <v>902</v>
          </cell>
          <cell r="C1733" t="str">
            <v>10</v>
          </cell>
          <cell r="D1733" t="str">
            <v>03</v>
          </cell>
          <cell r="E1733" t="str">
            <v>517 00 00</v>
          </cell>
          <cell r="F1733" t="str">
            <v>479</v>
          </cell>
        </row>
        <row r="1734">
          <cell r="A1734" t="str">
            <v>Пособия по социальной помощи населению </v>
          </cell>
          <cell r="B1734" t="str">
            <v>902</v>
          </cell>
          <cell r="C1734" t="str">
            <v>10</v>
          </cell>
          <cell r="D1734" t="str">
            <v>03</v>
          </cell>
          <cell r="E1734" t="str">
            <v>517 00 00</v>
          </cell>
          <cell r="F1734" t="str">
            <v>479</v>
          </cell>
        </row>
        <row r="1735">
          <cell r="A1735" t="str">
            <v>Региональные целевые программы </v>
          </cell>
          <cell r="B1735" t="str">
            <v>902</v>
          </cell>
          <cell r="C1735" t="str">
            <v>10</v>
          </cell>
          <cell r="D1735" t="str">
            <v>03</v>
          </cell>
          <cell r="E1735" t="str">
            <v>522 00 00</v>
          </cell>
          <cell r="F1735" t="str">
            <v>000</v>
          </cell>
        </row>
        <row r="1736">
          <cell r="A1736" t="str">
            <v>Мероприятия в области социальной политики </v>
          </cell>
          <cell r="B1736" t="str">
            <v>902</v>
          </cell>
          <cell r="C1736" t="str">
            <v>10</v>
          </cell>
          <cell r="D1736" t="str">
            <v>03</v>
          </cell>
          <cell r="E1736" t="str">
            <v>522 00 00</v>
          </cell>
          <cell r="F1736" t="str">
            <v>482</v>
          </cell>
        </row>
        <row r="1737">
          <cell r="A1737" t="str">
            <v>Социальное обеспечение населения </v>
          </cell>
          <cell r="B1737" t="str">
            <v>902</v>
          </cell>
          <cell r="C1737" t="str">
            <v>10</v>
          </cell>
          <cell r="D1737" t="str">
            <v>03</v>
          </cell>
          <cell r="E1737" t="str">
            <v>000 00 00</v>
          </cell>
          <cell r="F1737" t="str">
            <v>000 </v>
          </cell>
        </row>
        <row r="1738">
          <cell r="A1738" t="str">
            <v>Фонд компенсации </v>
          </cell>
          <cell r="B1738" t="str">
            <v>902</v>
          </cell>
          <cell r="C1738" t="str">
            <v>10</v>
          </cell>
          <cell r="D1738" t="str">
            <v>03</v>
          </cell>
          <cell r="E1738" t="str">
            <v>519 00 00</v>
          </cell>
          <cell r="F1738" t="str">
            <v>000</v>
          </cell>
        </row>
        <row r="1739">
          <cell r="A1739" t="str">
            <v>Субвенции на оплату жилищно-коммунальных услуг отдельным категориям граждан</v>
          </cell>
          <cell r="B1739" t="str">
            <v>902</v>
          </cell>
          <cell r="C1739" t="str">
            <v>10</v>
          </cell>
          <cell r="D1739" t="str">
            <v>03</v>
          </cell>
          <cell r="E1739" t="str">
            <v>519 00 00</v>
          </cell>
          <cell r="F1739" t="str">
            <v>561</v>
          </cell>
        </row>
        <row r="1740">
          <cell r="A1740" t="str">
            <v>Пособие по социальной помощи населению </v>
          </cell>
          <cell r="B1740" t="str">
            <v>902</v>
          </cell>
          <cell r="C1740" t="str">
            <v>10</v>
          </cell>
          <cell r="D1740" t="str">
            <v>03</v>
          </cell>
          <cell r="E1740" t="str">
            <v>519 00 00</v>
          </cell>
          <cell r="F1740" t="str">
            <v>561</v>
          </cell>
        </row>
        <row r="1741">
          <cell r="A1741" t="str">
            <v>Пособия по социальной помощи населению </v>
          </cell>
          <cell r="B1741" t="str">
            <v>902</v>
          </cell>
          <cell r="C1741" t="str">
            <v>10</v>
          </cell>
          <cell r="D1741" t="str">
            <v>03</v>
          </cell>
          <cell r="E1741" t="str">
            <v>522 00 00</v>
          </cell>
          <cell r="F1741" t="str">
            <v>482</v>
          </cell>
        </row>
        <row r="1742">
          <cell r="A1742" t="str">
            <v>Борьба с беспризорностью, опека, попечительство</v>
          </cell>
          <cell r="B1742" t="str">
            <v>902</v>
          </cell>
          <cell r="C1742" t="str">
            <v>10</v>
          </cell>
          <cell r="D1742" t="str">
            <v>04</v>
          </cell>
          <cell r="E1742" t="str">
            <v>000 00 00</v>
          </cell>
          <cell r="F1742" t="str">
            <v>000</v>
          </cell>
        </row>
        <row r="1743">
          <cell r="A1743" t="str">
            <v>Мероприятия по борьбе с беспризорностью, по опеке и попечительству </v>
          </cell>
          <cell r="B1743" t="str">
            <v>902</v>
          </cell>
          <cell r="C1743" t="str">
            <v>10</v>
          </cell>
          <cell r="D1743" t="str">
            <v>04</v>
          </cell>
          <cell r="E1743" t="str">
            <v>511 00 00</v>
          </cell>
          <cell r="F1743" t="str">
            <v>000</v>
          </cell>
        </row>
        <row r="1744">
          <cell r="A1744" t="str">
            <v>Другие пособия и компенсации </v>
          </cell>
          <cell r="B1744" t="str">
            <v>902</v>
          </cell>
          <cell r="C1744" t="str">
            <v>10</v>
          </cell>
          <cell r="D1744" t="str">
            <v>04</v>
          </cell>
          <cell r="E1744" t="str">
            <v>511 00 00</v>
          </cell>
          <cell r="F1744" t="str">
            <v>755</v>
          </cell>
        </row>
        <row r="1745">
          <cell r="A1745" t="str">
            <v>Пособия по социальной помощи населению </v>
          </cell>
          <cell r="B1745" t="str">
            <v>902</v>
          </cell>
          <cell r="C1745" t="str">
            <v>10</v>
          </cell>
          <cell r="D1745" t="str">
            <v>04</v>
          </cell>
          <cell r="E1745" t="str">
            <v>511 00 00</v>
          </cell>
          <cell r="F1745" t="str">
            <v>755</v>
          </cell>
        </row>
        <row r="1746">
          <cell r="A1746" t="str">
            <v>Региональные целевые программы </v>
          </cell>
          <cell r="B1746" t="str">
            <v>902</v>
          </cell>
          <cell r="C1746" t="str">
            <v>10</v>
          </cell>
          <cell r="D1746" t="str">
            <v>04</v>
          </cell>
          <cell r="E1746" t="str">
            <v>522 00 00</v>
          </cell>
          <cell r="F1746" t="str">
            <v>000</v>
          </cell>
        </row>
        <row r="1747">
          <cell r="A1747" t="str">
            <v>Профилактика безнадзорности и правонарушений несовершеннолетних</v>
          </cell>
          <cell r="B1747" t="str">
            <v>902</v>
          </cell>
          <cell r="C1747" t="str">
            <v>10</v>
          </cell>
          <cell r="D1747" t="str">
            <v>04</v>
          </cell>
          <cell r="E1747" t="str">
            <v>522 00 00</v>
          </cell>
          <cell r="F1747" t="str">
            <v>481</v>
          </cell>
        </row>
        <row r="1748">
          <cell r="A1748" t="str">
            <v>Прочие расходы </v>
          </cell>
          <cell r="B1748" t="str">
            <v>902</v>
          </cell>
          <cell r="C1748" t="str">
            <v>10</v>
          </cell>
          <cell r="D1748" t="str">
            <v>04</v>
          </cell>
          <cell r="E1748" t="str">
            <v>522 00 00</v>
          </cell>
          <cell r="F1748" t="str">
            <v>481</v>
          </cell>
        </row>
        <row r="1749">
          <cell r="A1749" t="str">
            <v>Другие вопросы в области социальной политики</v>
          </cell>
          <cell r="B1749" t="str">
            <v>902</v>
          </cell>
          <cell r="C1749" t="str">
            <v>10</v>
          </cell>
          <cell r="D1749" t="str">
            <v>06</v>
          </cell>
          <cell r="E1749" t="str">
            <v>000 00 00</v>
          </cell>
          <cell r="F1749" t="str">
            <v>000</v>
          </cell>
        </row>
        <row r="1750">
          <cell r="A1750" t="str">
            <v>Руководство и управление в сфере установленных функций</v>
          </cell>
          <cell r="B1750" t="str">
            <v>902</v>
          </cell>
          <cell r="C1750" t="str">
            <v>10</v>
          </cell>
          <cell r="D1750" t="str">
            <v>06</v>
          </cell>
          <cell r="E1750" t="str">
            <v>001 00 00</v>
          </cell>
          <cell r="F1750" t="str">
            <v>000</v>
          </cell>
        </row>
        <row r="1751">
          <cell r="A1751" t="str">
            <v>Центральный аппарат</v>
          </cell>
          <cell r="B1751" t="str">
            <v>902</v>
          </cell>
          <cell r="C1751" t="str">
            <v>10</v>
          </cell>
          <cell r="D1751" t="str">
            <v>06</v>
          </cell>
          <cell r="E1751" t="str">
            <v>001 00 00</v>
          </cell>
          <cell r="F1751" t="str">
            <v>005</v>
          </cell>
        </row>
        <row r="1752">
          <cell r="A1752" t="str">
            <v>Оплата труда и начисления на оплату труда</v>
          </cell>
          <cell r="B1752" t="str">
            <v>902</v>
          </cell>
          <cell r="C1752" t="str">
            <v>10</v>
          </cell>
          <cell r="D1752" t="str">
            <v>06</v>
          </cell>
          <cell r="E1752" t="str">
            <v>001 00 00</v>
          </cell>
          <cell r="F1752" t="str">
            <v>005</v>
          </cell>
        </row>
        <row r="1753">
          <cell r="A1753" t="str">
            <v>Заработная плата</v>
          </cell>
          <cell r="B1753" t="str">
            <v>902</v>
          </cell>
          <cell r="C1753" t="str">
            <v>10</v>
          </cell>
          <cell r="D1753" t="str">
            <v>06</v>
          </cell>
          <cell r="E1753" t="str">
            <v>001 00 00</v>
          </cell>
          <cell r="F1753" t="str">
            <v>005</v>
          </cell>
        </row>
        <row r="1754">
          <cell r="A1754" t="str">
            <v>Прочие выплаты</v>
          </cell>
          <cell r="B1754" t="str">
            <v>902</v>
          </cell>
          <cell r="C1754" t="str">
            <v>10</v>
          </cell>
          <cell r="D1754" t="str">
            <v>06</v>
          </cell>
          <cell r="E1754" t="str">
            <v>001 00 00</v>
          </cell>
          <cell r="F1754" t="str">
            <v>005</v>
          </cell>
        </row>
        <row r="1755">
          <cell r="A1755" t="str">
            <v>Начисление на оплату труда</v>
          </cell>
          <cell r="B1755" t="str">
            <v>902</v>
          </cell>
          <cell r="C1755" t="str">
            <v>10</v>
          </cell>
          <cell r="D1755" t="str">
            <v>06</v>
          </cell>
          <cell r="E1755" t="str">
            <v>001 00 00</v>
          </cell>
          <cell r="F1755" t="str">
            <v>005</v>
          </cell>
        </row>
        <row r="1756">
          <cell r="A1756" t="str">
            <v>Приобретение услуг</v>
          </cell>
          <cell r="B1756" t="str">
            <v>902</v>
          </cell>
          <cell r="C1756" t="str">
            <v>10</v>
          </cell>
          <cell r="D1756" t="str">
            <v>06</v>
          </cell>
          <cell r="E1756" t="str">
            <v>001 00 00</v>
          </cell>
          <cell r="F1756" t="str">
            <v>005</v>
          </cell>
        </row>
        <row r="1757">
          <cell r="A1757" t="str">
            <v>Услуги связи </v>
          </cell>
          <cell r="B1757" t="str">
            <v>902</v>
          </cell>
          <cell r="C1757" t="str">
            <v>10</v>
          </cell>
          <cell r="D1757" t="str">
            <v>06</v>
          </cell>
          <cell r="E1757" t="str">
            <v>001 00 00</v>
          </cell>
          <cell r="F1757" t="str">
            <v>005</v>
          </cell>
        </row>
        <row r="1758">
          <cell r="A1758" t="str">
            <v>Транспортные услуги</v>
          </cell>
          <cell r="B1758" t="str">
            <v>902</v>
          </cell>
          <cell r="C1758" t="str">
            <v>10</v>
          </cell>
          <cell r="D1758" t="str">
            <v>06</v>
          </cell>
          <cell r="E1758" t="str">
            <v>001 00 00</v>
          </cell>
          <cell r="F1758" t="str">
            <v>005</v>
          </cell>
        </row>
        <row r="1759">
          <cell r="A1759" t="str">
            <v>Коммунальные услуги</v>
          </cell>
          <cell r="B1759" t="str">
            <v>902</v>
          </cell>
          <cell r="C1759" t="str">
            <v>10</v>
          </cell>
          <cell r="D1759" t="str">
            <v>06</v>
          </cell>
          <cell r="E1759" t="str">
            <v>001 00 00</v>
          </cell>
          <cell r="F1759" t="str">
            <v>005</v>
          </cell>
        </row>
        <row r="1760">
          <cell r="A1760" t="str">
            <v>Арендная плата за пользование иммуществом </v>
          </cell>
          <cell r="B1760" t="str">
            <v>902</v>
          </cell>
          <cell r="C1760" t="str">
            <v>10</v>
          </cell>
          <cell r="D1760" t="str">
            <v>06</v>
          </cell>
          <cell r="E1760" t="str">
            <v>001 00 00</v>
          </cell>
          <cell r="F1760" t="str">
            <v>005</v>
          </cell>
        </row>
        <row r="1761">
          <cell r="A1761" t="str">
            <v>Услуги по содержанию иммущества</v>
          </cell>
          <cell r="B1761" t="str">
            <v>902</v>
          </cell>
          <cell r="C1761" t="str">
            <v>10</v>
          </cell>
          <cell r="D1761" t="str">
            <v>06</v>
          </cell>
          <cell r="E1761" t="str">
            <v>001 00 00</v>
          </cell>
          <cell r="F1761" t="str">
            <v>005</v>
          </cell>
        </row>
        <row r="1762">
          <cell r="A1762" t="str">
            <v>Прочие услуги</v>
          </cell>
          <cell r="B1762" t="str">
            <v>902</v>
          </cell>
          <cell r="C1762" t="str">
            <v>10</v>
          </cell>
          <cell r="D1762" t="str">
            <v>06</v>
          </cell>
          <cell r="E1762" t="str">
            <v>001 00 00</v>
          </cell>
          <cell r="F1762" t="str">
            <v>005</v>
          </cell>
        </row>
        <row r="1763">
          <cell r="A1763" t="str">
            <v>Прочие расходы </v>
          </cell>
          <cell r="B1763" t="str">
            <v>902</v>
          </cell>
          <cell r="C1763" t="str">
            <v>10</v>
          </cell>
          <cell r="D1763" t="str">
            <v>06</v>
          </cell>
          <cell r="E1763" t="str">
            <v>001 00 00 </v>
          </cell>
          <cell r="F1763" t="str">
            <v>005</v>
          </cell>
        </row>
        <row r="1764">
          <cell r="A1764" t="str">
            <v>Поступление нефинансовых активов</v>
          </cell>
          <cell r="B1764" t="str">
            <v>902</v>
          </cell>
          <cell r="C1764" t="str">
            <v>10</v>
          </cell>
          <cell r="D1764" t="str">
            <v>06</v>
          </cell>
          <cell r="E1764" t="str">
            <v>001 00 00</v>
          </cell>
          <cell r="F1764" t="str">
            <v>005</v>
          </cell>
        </row>
        <row r="1765">
          <cell r="A1765" t="str">
            <v>Увеличение стоимости основных средств</v>
          </cell>
          <cell r="B1765" t="str">
            <v>902</v>
          </cell>
          <cell r="C1765" t="str">
            <v>10</v>
          </cell>
          <cell r="D1765" t="str">
            <v>06</v>
          </cell>
          <cell r="E1765" t="str">
            <v>001 00 00</v>
          </cell>
          <cell r="F1765" t="str">
            <v>005</v>
          </cell>
        </row>
        <row r="1766">
          <cell r="A1766" t="str">
            <v>Увеличение стоимости материальных запасов</v>
          </cell>
          <cell r="B1766" t="str">
            <v>902</v>
          </cell>
          <cell r="C1766" t="str">
            <v>10</v>
          </cell>
          <cell r="D1766" t="str">
            <v>06</v>
          </cell>
          <cell r="E1766" t="str">
            <v>001 00 00</v>
          </cell>
          <cell r="F1766" t="str">
            <v>005</v>
          </cell>
        </row>
        <row r="1767">
          <cell r="A1767" t="str">
            <v>Региональные целевые программы</v>
          </cell>
          <cell r="B1767" t="str">
            <v>902</v>
          </cell>
          <cell r="C1767" t="str">
            <v>10</v>
          </cell>
          <cell r="D1767" t="str">
            <v>06</v>
          </cell>
          <cell r="E1767" t="str">
            <v>000 00 00</v>
          </cell>
          <cell r="F1767" t="str">
            <v>000 </v>
          </cell>
        </row>
        <row r="1768">
          <cell r="A1768" t="str">
            <v>Мероприятия в области социальной политики </v>
          </cell>
          <cell r="B1768" t="str">
            <v>902</v>
          </cell>
          <cell r="C1768" t="str">
            <v>10</v>
          </cell>
          <cell r="D1768" t="str">
            <v>06</v>
          </cell>
          <cell r="E1768" t="str">
            <v>522 00 00</v>
          </cell>
          <cell r="F1768" t="str">
            <v>482</v>
          </cell>
        </row>
        <row r="1769">
          <cell r="A1769" t="str">
            <v>Прочие расходы </v>
          </cell>
          <cell r="B1769" t="str">
            <v>902</v>
          </cell>
          <cell r="C1769" t="str">
            <v>10</v>
          </cell>
          <cell r="D1769" t="str">
            <v>06</v>
          </cell>
          <cell r="E1769" t="str">
            <v>522 00 00</v>
          </cell>
          <cell r="F1769" t="str">
            <v>482</v>
          </cell>
        </row>
        <row r="1770">
          <cell r="A1770" t="str">
            <v>Социальное обеспечение населения </v>
          </cell>
          <cell r="C1770" t="str">
            <v>10</v>
          </cell>
          <cell r="D1770" t="str">
            <v>03</v>
          </cell>
          <cell r="E1770" t="str">
            <v>000 00 00</v>
          </cell>
          <cell r="F1770" t="str">
            <v>000</v>
          </cell>
        </row>
        <row r="1771">
          <cell r="C1771" t="str">
            <v>10</v>
          </cell>
          <cell r="D1771" t="str">
            <v>03</v>
          </cell>
          <cell r="E1771" t="str">
            <v>000 00 00</v>
          </cell>
          <cell r="F1771" t="str">
            <v>000</v>
          </cell>
        </row>
        <row r="1772">
          <cell r="A1772" t="str">
            <v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v>
          </cell>
          <cell r="B1772" t="str">
            <v>902</v>
          </cell>
          <cell r="C1772" t="str">
            <v>10</v>
          </cell>
          <cell r="D1772" t="str">
            <v>03</v>
          </cell>
          <cell r="E1772" t="str">
            <v>002 00 00</v>
          </cell>
          <cell r="F1772" t="str">
            <v>000</v>
          </cell>
        </row>
        <row r="1773">
          <cell r="A1773" t="str">
            <v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v>
          </cell>
          <cell r="B1773" t="str">
            <v>902</v>
          </cell>
          <cell r="C1773" t="str">
            <v>10</v>
          </cell>
          <cell r="D1773" t="str">
            <v>03</v>
          </cell>
          <cell r="E1773" t="str">
            <v>002 47 01</v>
          </cell>
          <cell r="F1773" t="str">
            <v>000</v>
          </cell>
        </row>
        <row r="1774">
          <cell r="A1774" t="str">
            <v>Социальные выплаты</v>
          </cell>
          <cell r="B1774" t="str">
            <v>902</v>
          </cell>
          <cell r="C1774" t="str">
            <v>10</v>
          </cell>
          <cell r="D1774" t="str">
            <v>03</v>
          </cell>
          <cell r="E1774" t="str">
            <v>002 47 01</v>
          </cell>
          <cell r="F1774" t="str">
            <v>005</v>
          </cell>
        </row>
        <row r="1775">
          <cell r="A1775" t="str">
            <v>Приобретение услуг</v>
          </cell>
          <cell r="B1775" t="str">
            <v>902</v>
          </cell>
          <cell r="C1775" t="str">
            <v>10</v>
          </cell>
          <cell r="D1775" t="str">
            <v>03</v>
          </cell>
          <cell r="E1775" t="str">
            <v>002 47 01</v>
          </cell>
          <cell r="F1775" t="str">
            <v>500</v>
          </cell>
        </row>
        <row r="1776">
          <cell r="A1776" t="str">
            <v>Заработная плата</v>
          </cell>
          <cell r="B1776" t="str">
            <v>902</v>
          </cell>
          <cell r="C1776" t="str">
            <v>10</v>
          </cell>
          <cell r="D1776" t="str">
            <v>03</v>
          </cell>
          <cell r="E1776" t="str">
            <v>002 47 01</v>
          </cell>
          <cell r="F1776" t="str">
            <v>500</v>
          </cell>
        </row>
        <row r="1777">
          <cell r="A1777" t="str">
            <v>Прочие выплаты</v>
          </cell>
          <cell r="B1777" t="str">
            <v>902</v>
          </cell>
          <cell r="C1777" t="str">
            <v>10</v>
          </cell>
          <cell r="D1777" t="str">
            <v>03</v>
          </cell>
          <cell r="E1777" t="str">
            <v>002 47 01</v>
          </cell>
          <cell r="F1777" t="str">
            <v>500</v>
          </cell>
        </row>
        <row r="1778">
          <cell r="A1778" t="str">
            <v>Начисление на оплату труда</v>
          </cell>
          <cell r="B1778" t="str">
            <v>902</v>
          </cell>
          <cell r="C1778" t="str">
            <v>10</v>
          </cell>
          <cell r="D1778" t="str">
            <v>03</v>
          </cell>
          <cell r="E1778" t="str">
            <v>002 47 01</v>
          </cell>
          <cell r="F1778" t="str">
            <v>500</v>
          </cell>
        </row>
        <row r="1779">
          <cell r="A1779" t="str">
            <v>Приобретение услуг</v>
          </cell>
          <cell r="B1779" t="str">
            <v>902</v>
          </cell>
          <cell r="C1779" t="str">
            <v>10</v>
          </cell>
          <cell r="D1779" t="str">
            <v>03</v>
          </cell>
          <cell r="E1779" t="str">
            <v>002 47 01</v>
          </cell>
          <cell r="F1779" t="str">
            <v>500</v>
          </cell>
        </row>
        <row r="1780">
          <cell r="A1780" t="str">
            <v>Услуги связи </v>
          </cell>
          <cell r="B1780" t="str">
            <v>902</v>
          </cell>
          <cell r="C1780" t="str">
            <v>10</v>
          </cell>
          <cell r="D1780" t="str">
            <v>03</v>
          </cell>
          <cell r="E1780" t="str">
            <v>002 47 01</v>
          </cell>
          <cell r="F1780" t="str">
            <v>500</v>
          </cell>
        </row>
        <row r="1781">
          <cell r="A1781" t="str">
            <v>Прочие услуги</v>
          </cell>
          <cell r="B1781" t="str">
            <v>902</v>
          </cell>
          <cell r="C1781" t="str">
            <v>10</v>
          </cell>
          <cell r="D1781" t="str">
            <v>03</v>
          </cell>
          <cell r="E1781" t="str">
            <v>002 47 01</v>
          </cell>
          <cell r="F1781" t="str">
            <v>500</v>
          </cell>
        </row>
        <row r="1782">
          <cell r="A1782" t="str">
            <v>Поступление нефинансовых активов</v>
          </cell>
          <cell r="B1782" t="str">
            <v>902</v>
          </cell>
          <cell r="C1782" t="str">
            <v>10</v>
          </cell>
          <cell r="D1782" t="str">
            <v>03</v>
          </cell>
          <cell r="E1782" t="str">
            <v>002 47 01</v>
          </cell>
          <cell r="F1782" t="str">
            <v>500</v>
          </cell>
        </row>
        <row r="1783">
          <cell r="A1783" t="str">
            <v>Увеличение стоймости основных средств</v>
          </cell>
          <cell r="B1783" t="str">
            <v>902</v>
          </cell>
          <cell r="C1783" t="str">
            <v>10</v>
          </cell>
          <cell r="D1783" t="str">
            <v>03</v>
          </cell>
          <cell r="E1783" t="str">
            <v>002 47 01</v>
          </cell>
          <cell r="F1783" t="str">
            <v>500</v>
          </cell>
        </row>
        <row r="1784">
          <cell r="A1784" t="str">
            <v>Увеличение стоимости материальных запасов</v>
          </cell>
          <cell r="B1784" t="str">
            <v>902</v>
          </cell>
          <cell r="C1784" t="str">
            <v>10</v>
          </cell>
          <cell r="D1784" t="str">
            <v>03</v>
          </cell>
          <cell r="E1784" t="str">
            <v>002 47 01</v>
          </cell>
          <cell r="F1784" t="str">
            <v>500</v>
          </cell>
        </row>
        <row r="1785">
          <cell r="B1785" t="str">
            <v>902</v>
          </cell>
          <cell r="C1785" t="str">
            <v>10</v>
          </cell>
          <cell r="D1785" t="str">
            <v>03</v>
          </cell>
          <cell r="E1785" t="str">
            <v>002 47 00</v>
          </cell>
          <cell r="F1785" t="str">
            <v>000</v>
          </cell>
        </row>
        <row r="1786">
          <cell r="A1786" t="str">
            <v>Осуществление областных государственных полномочий по предоставлению гражданам субсидий на оплату жилых помещений и коммунальных услуг</v>
          </cell>
          <cell r="B1786" t="str">
            <v>902</v>
          </cell>
          <cell r="C1786" t="str">
            <v>10</v>
          </cell>
          <cell r="D1786" t="str">
            <v>03</v>
          </cell>
          <cell r="E1786" t="str">
            <v>002 47 02</v>
          </cell>
          <cell r="F1786" t="str">
            <v>000</v>
          </cell>
        </row>
        <row r="1787">
          <cell r="A1787" t="str">
            <v>Социальные выплаты</v>
          </cell>
          <cell r="B1787" t="str">
            <v>902</v>
          </cell>
          <cell r="C1787" t="str">
            <v>10</v>
          </cell>
          <cell r="D1787" t="str">
            <v>03</v>
          </cell>
          <cell r="E1787" t="str">
            <v>002 47 02</v>
          </cell>
          <cell r="F1787" t="str">
            <v>005</v>
          </cell>
        </row>
        <row r="1788">
          <cell r="A1788" t="str">
            <v>Расходы</v>
          </cell>
          <cell r="B1788" t="str">
            <v>902</v>
          </cell>
          <cell r="C1788" t="str">
            <v>10</v>
          </cell>
          <cell r="D1788" t="str">
            <v>03</v>
          </cell>
          <cell r="E1788" t="str">
            <v>002 47 02</v>
          </cell>
          <cell r="F1788" t="str">
            <v>005</v>
          </cell>
        </row>
        <row r="1789">
          <cell r="A1789" t="str">
            <v>Приобретение работ, услуг</v>
          </cell>
          <cell r="B1789" t="str">
            <v>902</v>
          </cell>
          <cell r="C1789" t="str">
            <v>10</v>
          </cell>
          <cell r="D1789" t="str">
            <v>03</v>
          </cell>
          <cell r="E1789" t="str">
            <v>002 47 02</v>
          </cell>
          <cell r="F1789" t="str">
            <v>005</v>
          </cell>
        </row>
        <row r="1790">
          <cell r="A1790" t="str">
            <v>Услуги связи</v>
          </cell>
          <cell r="B1790" t="str">
            <v>902</v>
          </cell>
          <cell r="C1790" t="str">
            <v>10</v>
          </cell>
          <cell r="D1790" t="str">
            <v>03</v>
          </cell>
          <cell r="E1790" t="str">
            <v>002 47 02</v>
          </cell>
          <cell r="F1790" t="str">
            <v>005</v>
          </cell>
        </row>
        <row r="1791">
          <cell r="A1791" t="str">
            <v>Прочие работы, услуги</v>
          </cell>
          <cell r="B1791" t="str">
            <v>902</v>
          </cell>
          <cell r="C1791" t="str">
            <v>10</v>
          </cell>
          <cell r="D1791" t="str">
            <v>03</v>
          </cell>
          <cell r="E1791" t="str">
            <v>002 47 02</v>
          </cell>
          <cell r="F1791" t="str">
            <v>005</v>
          </cell>
        </row>
        <row r="1792">
          <cell r="A1792" t="str">
            <v>Социальное обеспечение</v>
          </cell>
          <cell r="B1792" t="str">
            <v>902</v>
          </cell>
          <cell r="C1792" t="str">
            <v>10</v>
          </cell>
          <cell r="D1792" t="str">
            <v>03</v>
          </cell>
          <cell r="E1792" t="str">
            <v>002 47 02</v>
          </cell>
          <cell r="F1792" t="str">
            <v>005</v>
          </cell>
        </row>
        <row r="1793">
          <cell r="A1793" t="str">
            <v>Пособия по социальной помощи населению</v>
          </cell>
          <cell r="B1793" t="str">
            <v>902</v>
          </cell>
          <cell r="C1793" t="str">
            <v>10</v>
          </cell>
          <cell r="D1793" t="str">
            <v>03</v>
          </cell>
          <cell r="E1793" t="str">
            <v>002 47 02</v>
          </cell>
          <cell r="F1793" t="str">
            <v>005</v>
          </cell>
        </row>
        <row r="1794">
          <cell r="A1794" t="str">
            <v>Поступление нефинансовых активов</v>
          </cell>
          <cell r="B1794" t="str">
            <v>902</v>
          </cell>
          <cell r="C1794" t="str">
            <v>10</v>
          </cell>
          <cell r="D1794" t="str">
            <v>03</v>
          </cell>
          <cell r="E1794" t="str">
            <v>521 02 09</v>
          </cell>
          <cell r="F1794" t="str">
            <v>005</v>
          </cell>
        </row>
        <row r="1795">
          <cell r="A1795" t="str">
            <v>Увеличение стоимости материальных запасов</v>
          </cell>
          <cell r="B1795" t="str">
            <v>902</v>
          </cell>
          <cell r="C1795" t="str">
            <v>10</v>
          </cell>
          <cell r="D1795" t="str">
            <v>03</v>
          </cell>
          <cell r="E1795" t="str">
            <v>521 02 09</v>
          </cell>
          <cell r="F1795" t="str">
            <v>005</v>
          </cell>
        </row>
        <row r="1796">
          <cell r="A1796" t="str">
            <v>Субвенции на осуществление органами местного самоуправления областных государственных полномочий по предоставлению мер социальной поддержки многодетным и малоимущим семьям</v>
          </cell>
          <cell r="B1796" t="str">
            <v>903</v>
          </cell>
          <cell r="C1796" t="str">
            <v>10</v>
          </cell>
          <cell r="D1796" t="str">
            <v>03</v>
          </cell>
          <cell r="E1796" t="str">
            <v>002 46 00</v>
          </cell>
          <cell r="F1796" t="str">
            <v>000</v>
          </cell>
        </row>
        <row r="1797">
          <cell r="A1797" t="str">
            <v>Социальные выплаты</v>
          </cell>
          <cell r="B1797" t="str">
            <v>903</v>
          </cell>
          <cell r="C1797" t="str">
            <v>10</v>
          </cell>
          <cell r="D1797" t="str">
            <v>03</v>
          </cell>
          <cell r="E1797" t="str">
            <v>505 85 05</v>
          </cell>
          <cell r="F1797" t="str">
            <v>005</v>
          </cell>
        </row>
        <row r="1798">
          <cell r="A1798" t="str">
            <v>Расходы</v>
          </cell>
          <cell r="B1798" t="str">
            <v>903</v>
          </cell>
          <cell r="C1798" t="str">
            <v>10</v>
          </cell>
          <cell r="D1798" t="str">
            <v>03</v>
          </cell>
          <cell r="E1798" t="str">
            <v>505 85 05</v>
          </cell>
          <cell r="F1798" t="str">
            <v>005</v>
          </cell>
        </row>
        <row r="1799">
          <cell r="A1799" t="str">
            <v>Социальное обеспечение</v>
          </cell>
          <cell r="B1799" t="str">
            <v>903</v>
          </cell>
          <cell r="C1799" t="str">
            <v>10</v>
          </cell>
          <cell r="D1799" t="str">
            <v>03</v>
          </cell>
          <cell r="E1799" t="str">
            <v>505 85 05</v>
          </cell>
          <cell r="F1799" t="str">
            <v>005</v>
          </cell>
        </row>
        <row r="1800">
          <cell r="A1800" t="str">
            <v>Пособия по социальной помощи населению</v>
          </cell>
          <cell r="B1800" t="str">
            <v>903</v>
          </cell>
          <cell r="C1800" t="str">
            <v>10</v>
          </cell>
          <cell r="D1800" t="str">
            <v>03</v>
          </cell>
          <cell r="E1800" t="str">
            <v>505 85 05</v>
          </cell>
          <cell r="F1800" t="str">
            <v>005</v>
          </cell>
        </row>
        <row r="1801">
          <cell r="A1801" t="str">
            <v>Социальные выплаты</v>
          </cell>
          <cell r="B1801" t="str">
            <v>903</v>
          </cell>
          <cell r="C1801" t="str">
            <v>10</v>
          </cell>
          <cell r="D1801" t="str">
            <v>03</v>
          </cell>
          <cell r="E1801" t="str">
            <v>002 46 00</v>
          </cell>
          <cell r="F1801" t="str">
            <v>000</v>
          </cell>
        </row>
        <row r="1802">
          <cell r="A1802" t="str">
            <v>Расходы</v>
          </cell>
          <cell r="B1802" t="str">
            <v>903</v>
          </cell>
          <cell r="C1802" t="str">
            <v>10</v>
          </cell>
          <cell r="D1802" t="str">
            <v>03</v>
          </cell>
          <cell r="E1802" t="str">
            <v>002 46 00</v>
          </cell>
          <cell r="F1802" t="str">
            <v>005</v>
          </cell>
        </row>
        <row r="1803">
          <cell r="A1803" t="str">
            <v>Социальное обеспечение</v>
          </cell>
          <cell r="B1803" t="str">
            <v>903</v>
          </cell>
          <cell r="C1803" t="str">
            <v>10</v>
          </cell>
          <cell r="D1803" t="str">
            <v>03</v>
          </cell>
          <cell r="E1803" t="str">
            <v>002 46 00</v>
          </cell>
          <cell r="F1803" t="str">
            <v>000</v>
          </cell>
        </row>
        <row r="1804">
          <cell r="A1804" t="str">
            <v>Осуществление отдельных областных государственных полномочий по предоставлению мер социальной поддержки многодетным и малоимущим семьям</v>
          </cell>
          <cell r="B1804" t="str">
            <v>903</v>
          </cell>
          <cell r="C1804" t="str">
            <v>10</v>
          </cell>
          <cell r="D1804" t="str">
            <v>03</v>
          </cell>
          <cell r="E1804" t="str">
            <v>002 46 00</v>
          </cell>
          <cell r="F1804" t="str">
            <v>000</v>
          </cell>
        </row>
        <row r="1805">
          <cell r="A1805" t="str">
            <v>Пособия по социальной помощи населению</v>
          </cell>
          <cell r="C1805" t="str">
            <v>10</v>
          </cell>
          <cell r="D1805" t="str">
            <v>04</v>
          </cell>
          <cell r="E1805" t="str">
            <v>000 00 00</v>
          </cell>
          <cell r="F1805" t="str">
            <v>000</v>
          </cell>
        </row>
        <row r="1806">
          <cell r="A1806" t="str">
            <v>Пособия по социальной помощи населению</v>
          </cell>
          <cell r="C1806" t="str">
            <v>10</v>
          </cell>
          <cell r="D1806" t="str">
            <v>04</v>
          </cell>
          <cell r="E1806" t="str">
            <v>795 00 00</v>
          </cell>
          <cell r="F1806" t="str">
            <v>000</v>
          </cell>
        </row>
        <row r="1807">
          <cell r="A1807" t="str">
            <v>Пособия по социальной помощи населению</v>
          </cell>
          <cell r="C1807" t="str">
            <v>10</v>
          </cell>
          <cell r="D1807" t="str">
            <v>04</v>
          </cell>
          <cell r="E1807" t="str">
            <v>795 00 00</v>
          </cell>
          <cell r="F1807" t="str">
            <v>500</v>
          </cell>
        </row>
        <row r="1808">
          <cell r="A1808" t="str">
            <v>Пособия по социальной помощи населению</v>
          </cell>
          <cell r="B1808" t="str">
            <v>904</v>
          </cell>
          <cell r="C1808" t="str">
            <v>10</v>
          </cell>
          <cell r="D1808" t="str">
            <v>04</v>
          </cell>
          <cell r="E1808" t="str">
            <v>795 00 00</v>
          </cell>
          <cell r="F1808" t="str">
            <v>500</v>
          </cell>
        </row>
        <row r="1809">
          <cell r="A1809" t="str">
            <v>Пособия по социальной помощи населению</v>
          </cell>
          <cell r="B1809" t="str">
            <v>902</v>
          </cell>
          <cell r="C1809" t="str">
            <v>10</v>
          </cell>
          <cell r="D1809" t="str">
            <v>04</v>
          </cell>
          <cell r="E1809" t="str">
            <v>795 00 00</v>
          </cell>
          <cell r="F1809" t="str">
            <v>500</v>
          </cell>
        </row>
        <row r="1810">
          <cell r="A1810" t="str">
            <v>Пособия по социальной помощи населению</v>
          </cell>
          <cell r="B1810" t="str">
            <v>905</v>
          </cell>
          <cell r="C1810" t="str">
            <v>10</v>
          </cell>
          <cell r="D1810" t="str">
            <v>04</v>
          </cell>
          <cell r="E1810" t="str">
            <v>795 00 00</v>
          </cell>
          <cell r="F1810" t="str">
            <v>500</v>
          </cell>
        </row>
        <row r="1811">
          <cell r="A1811" t="str">
            <v>Пособия по социальной помощи населению</v>
          </cell>
          <cell r="B1811" t="str">
            <v>903</v>
          </cell>
          <cell r="C1811" t="str">
            <v>10</v>
          </cell>
          <cell r="D1811" t="str">
            <v>04</v>
          </cell>
          <cell r="E1811" t="str">
            <v>795 00 00</v>
          </cell>
          <cell r="F1811" t="str">
            <v>500</v>
          </cell>
        </row>
        <row r="1812">
          <cell r="A1812" t="str">
            <v>Пособия по социальной помощи населению</v>
          </cell>
          <cell r="B1812" t="str">
            <v>902</v>
          </cell>
          <cell r="C1812" t="str">
            <v>10</v>
          </cell>
          <cell r="D1812" t="str">
            <v>04</v>
          </cell>
          <cell r="E1812" t="str">
            <v>795 00 00</v>
          </cell>
          <cell r="F1812" t="str">
            <v>500</v>
          </cell>
        </row>
        <row r="1813">
          <cell r="A1813" t="str">
            <v>Социальные выплаты ОБ</v>
          </cell>
          <cell r="B1813" t="str">
            <v>903</v>
          </cell>
          <cell r="C1813" t="str">
            <v>10</v>
          </cell>
          <cell r="D1813" t="str">
            <v>03</v>
          </cell>
          <cell r="E1813" t="str">
            <v>002 46 00</v>
          </cell>
          <cell r="F1813" t="str">
            <v>005</v>
          </cell>
        </row>
        <row r="1814">
          <cell r="A1814" t="str">
            <v>Субсидии некоммерческим организациям ОБ</v>
          </cell>
          <cell r="B1814" t="str">
            <v>903</v>
          </cell>
          <cell r="C1814" t="str">
            <v>10</v>
          </cell>
          <cell r="D1814" t="str">
            <v>03</v>
          </cell>
          <cell r="E1814" t="str">
            <v>002 46 00</v>
          </cell>
          <cell r="F1814" t="str">
            <v>019</v>
          </cell>
        </row>
        <row r="1815">
          <cell r="A1815" t="str">
            <v>Пособия по социальной помощи населению МБ</v>
          </cell>
          <cell r="B1815" t="str">
            <v>903</v>
          </cell>
          <cell r="C1815" t="str">
            <v>10</v>
          </cell>
          <cell r="D1815" t="str">
            <v>03</v>
          </cell>
          <cell r="E1815" t="str">
            <v>002 46 01</v>
          </cell>
          <cell r="F1815" t="str">
            <v>500</v>
          </cell>
        </row>
        <row r="1816">
          <cell r="A1816" t="str">
            <v>Поступление нефинансовых активов</v>
          </cell>
          <cell r="B1816" t="str">
            <v>903</v>
          </cell>
          <cell r="C1816" t="str">
            <v>10</v>
          </cell>
          <cell r="D1816" t="str">
            <v>03</v>
          </cell>
          <cell r="E1816" t="str">
            <v>002 46 00</v>
          </cell>
          <cell r="F1816" t="str">
            <v>000</v>
          </cell>
        </row>
        <row r="1817">
          <cell r="A1817" t="str">
            <v>Увеличение стоймости основных средств</v>
          </cell>
          <cell r="B1817" t="str">
            <v>903</v>
          </cell>
          <cell r="C1817" t="str">
            <v>10</v>
          </cell>
          <cell r="D1817" t="str">
            <v>03</v>
          </cell>
          <cell r="E1817" t="str">
            <v>002 46 00</v>
          </cell>
          <cell r="F1817" t="str">
            <v>005</v>
          </cell>
        </row>
        <row r="1818">
          <cell r="A1818" t="str">
            <v>Увеличение стоимости материальных запасов</v>
          </cell>
          <cell r="B1818" t="str">
            <v>903</v>
          </cell>
          <cell r="C1818" t="str">
            <v>10</v>
          </cell>
          <cell r="D1818" t="str">
            <v>03</v>
          </cell>
          <cell r="E1818" t="str">
            <v>002 46 01</v>
          </cell>
          <cell r="F1818" t="str">
            <v>500</v>
          </cell>
        </row>
        <row r="1819">
          <cell r="A1819" t="str">
            <v>Субсидии некоммерческим организациям МБ</v>
          </cell>
          <cell r="B1819" t="str">
            <v>903</v>
          </cell>
          <cell r="C1819" t="str">
            <v>10</v>
          </cell>
          <cell r="D1819" t="str">
            <v>03</v>
          </cell>
          <cell r="E1819" t="str">
            <v>002 46 01</v>
          </cell>
          <cell r="F1819" t="str">
            <v>019</v>
          </cell>
        </row>
        <row r="1820">
          <cell r="A1820" t="str">
            <v>Целевые программы муниципальных образований </v>
          </cell>
          <cell r="B1820" t="str">
            <v>902</v>
          </cell>
          <cell r="C1820" t="str">
            <v>10</v>
          </cell>
          <cell r="D1820" t="str">
            <v>03</v>
          </cell>
          <cell r="E1820" t="str">
            <v>795 00 00</v>
          </cell>
          <cell r="F1820" t="str">
            <v>000</v>
          </cell>
        </row>
        <row r="1821">
          <cell r="A1821" t="str">
            <v>Молодым семьям-доступное жилье2007-2019 гг</v>
          </cell>
          <cell r="B1821" t="str">
            <v>902</v>
          </cell>
          <cell r="C1821" t="str">
            <v>10</v>
          </cell>
          <cell r="D1821" t="str">
            <v>03</v>
          </cell>
          <cell r="E1821" t="str">
            <v>795 30 00</v>
          </cell>
          <cell r="F1821" t="str">
            <v>000</v>
          </cell>
        </row>
        <row r="1822">
          <cell r="A1822" t="str">
            <v>Поступление нефинансовых активов</v>
          </cell>
          <cell r="B1822" t="str">
            <v>902</v>
          </cell>
          <cell r="C1822" t="str">
            <v>10</v>
          </cell>
          <cell r="D1822" t="str">
            <v>03</v>
          </cell>
          <cell r="E1822" t="str">
            <v>795 00 00</v>
          </cell>
          <cell r="F1822" t="str">
            <v>500</v>
          </cell>
        </row>
        <row r="1823">
          <cell r="A1823" t="str">
            <v>Выполнение функций органами местного самоуправления</v>
          </cell>
          <cell r="B1823" t="str">
            <v>902</v>
          </cell>
          <cell r="C1823" t="str">
            <v>10</v>
          </cell>
          <cell r="D1823" t="str">
            <v>03</v>
          </cell>
          <cell r="E1823" t="str">
            <v>795 30 00</v>
          </cell>
          <cell r="F1823" t="str">
            <v>500</v>
          </cell>
        </row>
        <row r="1824">
          <cell r="A1824" t="str">
            <v>Охрана семьи и детства</v>
          </cell>
          <cell r="B1824" t="str">
            <v>902</v>
          </cell>
          <cell r="C1824" t="str">
            <v>10</v>
          </cell>
          <cell r="D1824" t="str">
            <v>04</v>
          </cell>
          <cell r="E1824" t="str">
            <v>000 00 00</v>
          </cell>
          <cell r="F1824" t="str">
            <v>000</v>
          </cell>
        </row>
        <row r="1825">
          <cell r="A1825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1825" t="str">
            <v>902</v>
          </cell>
          <cell r="C1825" t="str">
            <v>10</v>
          </cell>
          <cell r="D1825" t="str">
            <v>04</v>
          </cell>
          <cell r="E1825" t="str">
            <v>002 00 00</v>
          </cell>
          <cell r="F1825" t="str">
            <v>000</v>
          </cell>
        </row>
        <row r="1826">
          <cell r="A1826" t="str">
            <v>Осуществление областных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</v>
          </cell>
          <cell r="B1826" t="str">
            <v>902</v>
          </cell>
          <cell r="C1826" t="str">
            <v>10</v>
          </cell>
          <cell r="D1826" t="str">
            <v>04</v>
          </cell>
          <cell r="E1826" t="str">
            <v>002 48 00</v>
          </cell>
          <cell r="F1826" t="str">
            <v>000</v>
          </cell>
        </row>
        <row r="1827">
          <cell r="A1827" t="str">
            <v>Содержание и обеспечение деятельности муниципальных служащих, осуществляющих областные государственные полномочия по обеспечению детей-сирот и детей, оставшихся без попечения родителей, лиц из числа детей-сирот и детей, оставшихся без попечения родителей,</v>
          </cell>
          <cell r="B1827" t="str">
            <v>902</v>
          </cell>
          <cell r="C1827" t="str">
            <v>10</v>
          </cell>
          <cell r="D1827" t="str">
            <v>04</v>
          </cell>
          <cell r="E1827" t="str">
            <v>002 48 01</v>
          </cell>
          <cell r="F1827" t="str">
            <v>000</v>
          </cell>
        </row>
        <row r="1828">
          <cell r="A1828" t="str">
            <v>Фонд компенсаций</v>
          </cell>
          <cell r="B1828" t="str">
            <v>902</v>
          </cell>
          <cell r="C1828" t="str">
            <v>10</v>
          </cell>
          <cell r="D1828" t="str">
            <v>04</v>
          </cell>
          <cell r="E1828" t="str">
            <v>002 48 01</v>
          </cell>
          <cell r="F1828" t="str">
            <v>009</v>
          </cell>
        </row>
        <row r="1829">
          <cell r="A1829" t="str">
            <v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</v>
          </cell>
          <cell r="B1829" t="str">
            <v>902</v>
          </cell>
          <cell r="C1829" t="str">
            <v>10</v>
          </cell>
          <cell r="D1829" t="str">
            <v>04</v>
          </cell>
          <cell r="E1829" t="str">
            <v>002 48 02</v>
          </cell>
          <cell r="F1829" t="str">
            <v>000</v>
          </cell>
        </row>
        <row r="1830">
          <cell r="B1830" t="str">
            <v>902</v>
          </cell>
          <cell r="C1830" t="str">
            <v>10</v>
          </cell>
          <cell r="D1830" t="str">
            <v>04</v>
          </cell>
        </row>
        <row r="1831">
          <cell r="A1831" t="str">
            <v>Фонд компенсаций</v>
          </cell>
          <cell r="B1831" t="str">
            <v>902</v>
          </cell>
          <cell r="C1831" t="str">
            <v>10</v>
          </cell>
          <cell r="D1831" t="str">
            <v>04</v>
          </cell>
          <cell r="E1831" t="str">
            <v>002 48 02</v>
          </cell>
          <cell r="F1831" t="str">
            <v>009</v>
          </cell>
        </row>
        <row r="1832">
          <cell r="A1832" t="str">
            <v>Другие вопросы в области социальной политики</v>
          </cell>
          <cell r="B1832" t="str">
            <v>902</v>
          </cell>
          <cell r="C1832" t="str">
            <v>10</v>
          </cell>
          <cell r="D1832" t="str">
            <v>06</v>
          </cell>
          <cell r="E1832" t="str">
            <v>000 00 00</v>
          </cell>
          <cell r="F1832" t="str">
            <v>000 </v>
          </cell>
        </row>
        <row r="1833">
          <cell r="A1833" t="str">
            <v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v>
          </cell>
          <cell r="B1833" t="str">
            <v>902</v>
          </cell>
          <cell r="C1833" t="str">
            <v>10</v>
          </cell>
          <cell r="D1833" t="str">
            <v>06</v>
          </cell>
          <cell r="E1833" t="str">
            <v>002 00 00</v>
          </cell>
          <cell r="F1833" t="str">
            <v>000</v>
          </cell>
        </row>
        <row r="1834">
          <cell r="A1834" t="str">
            <v>Центральный аппарат</v>
          </cell>
          <cell r="B1834" t="str">
            <v>902</v>
          </cell>
          <cell r="C1834" t="str">
            <v>10</v>
          </cell>
          <cell r="D1834" t="str">
            <v>06</v>
          </cell>
          <cell r="E1834" t="str">
            <v>002 00 00</v>
          </cell>
          <cell r="F1834" t="str">
            <v>000</v>
          </cell>
        </row>
        <row r="1835">
          <cell r="A1835" t="str">
            <v>Выполнение функций органами местного самоуправления</v>
          </cell>
          <cell r="B1835" t="str">
            <v>902</v>
          </cell>
          <cell r="C1835" t="str">
            <v>10</v>
          </cell>
          <cell r="D1835" t="str">
            <v>06</v>
          </cell>
          <cell r="E1835" t="str">
            <v>002 00 00</v>
          </cell>
          <cell r="F1835" t="str">
            <v>500</v>
          </cell>
        </row>
        <row r="1836">
          <cell r="A1836" t="str">
            <v>Расходы</v>
          </cell>
          <cell r="B1836" t="str">
            <v>902</v>
          </cell>
          <cell r="C1836" t="str">
            <v>10</v>
          </cell>
          <cell r="D1836" t="str">
            <v>06</v>
          </cell>
          <cell r="E1836" t="str">
            <v>002 00 00</v>
          </cell>
          <cell r="F1836" t="str">
            <v>500</v>
          </cell>
        </row>
        <row r="1837">
          <cell r="A1837" t="str">
            <v>Оплата труда и начисления на выплаты по оплате труда</v>
          </cell>
          <cell r="B1837" t="str">
            <v>902</v>
          </cell>
          <cell r="C1837" t="str">
            <v>10</v>
          </cell>
          <cell r="D1837" t="str">
            <v>06</v>
          </cell>
          <cell r="E1837" t="str">
            <v>002 00 00</v>
          </cell>
          <cell r="F1837" t="str">
            <v>500</v>
          </cell>
        </row>
        <row r="1838">
          <cell r="A1838" t="str">
            <v>Заработная плата</v>
          </cell>
          <cell r="B1838" t="str">
            <v>902</v>
          </cell>
          <cell r="C1838" t="str">
            <v>10</v>
          </cell>
          <cell r="D1838" t="str">
            <v>06</v>
          </cell>
          <cell r="E1838" t="str">
            <v>002 00 00</v>
          </cell>
          <cell r="F1838" t="str">
            <v>500</v>
          </cell>
        </row>
        <row r="1839">
          <cell r="A1839" t="str">
            <v>Прочие выплаты</v>
          </cell>
          <cell r="B1839" t="str">
            <v>902</v>
          </cell>
          <cell r="C1839" t="str">
            <v>10</v>
          </cell>
          <cell r="D1839" t="str">
            <v>06</v>
          </cell>
          <cell r="E1839" t="str">
            <v>002 00 00</v>
          </cell>
          <cell r="F1839" t="str">
            <v>500</v>
          </cell>
        </row>
        <row r="1840">
          <cell r="A1840" t="str">
            <v>Начисления на выплаты по оплате труда</v>
          </cell>
          <cell r="B1840" t="str">
            <v>902</v>
          </cell>
          <cell r="C1840" t="str">
            <v>10</v>
          </cell>
          <cell r="D1840" t="str">
            <v>06</v>
          </cell>
          <cell r="E1840" t="str">
            <v>002 00 00</v>
          </cell>
          <cell r="F1840" t="str">
            <v>500</v>
          </cell>
        </row>
        <row r="1841">
          <cell r="A1841" t="str">
            <v>Приобретение работ, услуг</v>
          </cell>
          <cell r="B1841" t="str">
            <v>902</v>
          </cell>
          <cell r="C1841" t="str">
            <v>10</v>
          </cell>
          <cell r="D1841" t="str">
            <v>06</v>
          </cell>
          <cell r="E1841" t="str">
            <v>002 00 00</v>
          </cell>
          <cell r="F1841" t="str">
            <v>500</v>
          </cell>
        </row>
        <row r="1842">
          <cell r="A1842" t="str">
            <v>Услуги связи</v>
          </cell>
          <cell r="B1842" t="str">
            <v>902</v>
          </cell>
          <cell r="C1842" t="str">
            <v>10</v>
          </cell>
          <cell r="D1842" t="str">
            <v>06</v>
          </cell>
          <cell r="E1842" t="str">
            <v>002 00 00</v>
          </cell>
          <cell r="F1842" t="str">
            <v>500</v>
          </cell>
        </row>
        <row r="1843">
          <cell r="A1843" t="str">
            <v>Транспортные услуги </v>
          </cell>
          <cell r="B1843" t="str">
            <v>902</v>
          </cell>
          <cell r="C1843" t="str">
            <v>10</v>
          </cell>
          <cell r="D1843" t="str">
            <v>06</v>
          </cell>
          <cell r="E1843" t="str">
            <v>002 00 00</v>
          </cell>
          <cell r="F1843" t="str">
            <v>500</v>
          </cell>
        </row>
        <row r="1844">
          <cell r="A1844" t="str">
            <v>Коммунальные услуги</v>
          </cell>
          <cell r="B1844" t="str">
            <v>902</v>
          </cell>
          <cell r="C1844" t="str">
            <v>10</v>
          </cell>
          <cell r="D1844" t="str">
            <v>06</v>
          </cell>
          <cell r="E1844" t="str">
            <v>002 04 00</v>
          </cell>
          <cell r="F1844" t="str">
            <v>500</v>
          </cell>
        </row>
        <row r="1845">
          <cell r="A1845" t="str">
            <v>Арендная плата за пользование имуществом</v>
          </cell>
          <cell r="B1845" t="str">
            <v>902</v>
          </cell>
          <cell r="C1845" t="str">
            <v>10</v>
          </cell>
          <cell r="D1845" t="str">
            <v>06</v>
          </cell>
          <cell r="E1845" t="str">
            <v>002 00 00</v>
          </cell>
          <cell r="F1845" t="str">
            <v>500</v>
          </cell>
        </row>
        <row r="1846">
          <cell r="A1846" t="str">
            <v>Работы, услуги по содержанию имущества</v>
          </cell>
          <cell r="B1846" t="str">
            <v>902</v>
          </cell>
          <cell r="C1846" t="str">
            <v>10</v>
          </cell>
          <cell r="D1846" t="str">
            <v>06</v>
          </cell>
          <cell r="E1846" t="str">
            <v>002 00 00</v>
          </cell>
          <cell r="F1846" t="str">
            <v>500</v>
          </cell>
        </row>
        <row r="1847">
          <cell r="A1847" t="str">
            <v>Прочие работы, услуги</v>
          </cell>
          <cell r="B1847" t="str">
            <v>902</v>
          </cell>
          <cell r="C1847" t="str">
            <v>10</v>
          </cell>
          <cell r="D1847" t="str">
            <v>06</v>
          </cell>
          <cell r="E1847" t="str">
            <v>002 00 00</v>
          </cell>
          <cell r="F1847" t="str">
            <v>500</v>
          </cell>
        </row>
        <row r="1848">
          <cell r="A1848" t="str">
            <v>Социальное обеспечение</v>
          </cell>
          <cell r="B1848" t="str">
            <v>902</v>
          </cell>
          <cell r="C1848" t="str">
            <v>10</v>
          </cell>
          <cell r="D1848" t="str">
            <v>06</v>
          </cell>
          <cell r="E1848" t="str">
            <v>002 00 00</v>
          </cell>
          <cell r="F1848" t="str">
            <v>500</v>
          </cell>
        </row>
        <row r="1849">
          <cell r="A1849" t="str">
            <v>Пособия по социальной помощи населению</v>
          </cell>
          <cell r="B1849" t="str">
            <v>902</v>
          </cell>
          <cell r="C1849" t="str">
            <v>10</v>
          </cell>
          <cell r="D1849" t="str">
            <v>06</v>
          </cell>
          <cell r="E1849" t="str">
            <v>002 00 00</v>
          </cell>
          <cell r="F1849" t="str">
            <v>500</v>
          </cell>
        </row>
        <row r="1850">
          <cell r="A1850" t="str">
            <v>Прочие расходы</v>
          </cell>
          <cell r="B1850" t="str">
            <v>902</v>
          </cell>
          <cell r="C1850" t="str">
            <v>10</v>
          </cell>
          <cell r="D1850" t="str">
            <v>06</v>
          </cell>
          <cell r="E1850" t="str">
            <v>002 00 00</v>
          </cell>
          <cell r="F1850" t="str">
            <v>500</v>
          </cell>
        </row>
        <row r="1851">
          <cell r="A1851" t="str">
            <v>Поступление нефинансовых активов</v>
          </cell>
          <cell r="B1851" t="str">
            <v>902</v>
          </cell>
          <cell r="C1851" t="str">
            <v>10</v>
          </cell>
          <cell r="D1851" t="str">
            <v>06</v>
          </cell>
          <cell r="E1851" t="str">
            <v>002 00 00</v>
          </cell>
          <cell r="F1851" t="str">
            <v>500</v>
          </cell>
        </row>
        <row r="1852">
          <cell r="A1852" t="str">
            <v>Увеличение стоимости основных средств</v>
          </cell>
          <cell r="B1852" t="str">
            <v>902</v>
          </cell>
          <cell r="C1852" t="str">
            <v>10</v>
          </cell>
          <cell r="D1852" t="str">
            <v>06</v>
          </cell>
          <cell r="E1852" t="str">
            <v>002 00 00</v>
          </cell>
          <cell r="F1852" t="str">
            <v>500</v>
          </cell>
        </row>
        <row r="1853">
          <cell r="A1853" t="str">
            <v>Увеличение стоимости нематериальных активов</v>
          </cell>
          <cell r="B1853" t="str">
            <v>902</v>
          </cell>
          <cell r="C1853" t="str">
            <v>10</v>
          </cell>
          <cell r="D1853" t="str">
            <v>06</v>
          </cell>
          <cell r="E1853" t="str">
            <v>002 00 00</v>
          </cell>
          <cell r="F1853" t="str">
            <v>500</v>
          </cell>
        </row>
        <row r="1854">
          <cell r="A1854" t="str">
            <v>Увеличение стоимости материальных запасов</v>
          </cell>
          <cell r="B1854" t="str">
            <v>902</v>
          </cell>
          <cell r="C1854" t="str">
            <v>10</v>
          </cell>
          <cell r="D1854" t="str">
            <v>06</v>
          </cell>
          <cell r="E1854" t="str">
            <v>002 00 00</v>
          </cell>
          <cell r="F1854" t="str">
            <v>500</v>
          </cell>
        </row>
        <row r="1855">
          <cell r="A1855" t="str">
            <v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v>
          </cell>
          <cell r="B1855" t="str">
            <v>902</v>
          </cell>
          <cell r="C1855" t="str">
            <v>10</v>
          </cell>
          <cell r="D1855" t="str">
            <v>06</v>
          </cell>
          <cell r="E1855" t="str">
            <v>002 41 00</v>
          </cell>
          <cell r="F1855" t="str">
            <v>000</v>
          </cell>
        </row>
        <row r="1856">
          <cell r="A1856" t="str">
            <v>Центральный аппарат</v>
          </cell>
          <cell r="B1856" t="str">
            <v>902</v>
          </cell>
          <cell r="C1856" t="str">
            <v>10</v>
          </cell>
          <cell r="D1856" t="str">
            <v>06</v>
          </cell>
          <cell r="E1856" t="str">
            <v>002 41 00</v>
          </cell>
          <cell r="F1856" t="str">
            <v>000</v>
          </cell>
        </row>
        <row r="1857">
          <cell r="A1857" t="str">
            <v>Выполнение функций органами местного самоуправления</v>
          </cell>
          <cell r="B1857" t="str">
            <v>902</v>
          </cell>
          <cell r="C1857" t="str">
            <v>10</v>
          </cell>
          <cell r="D1857" t="str">
            <v>06</v>
          </cell>
          <cell r="E1857" t="str">
            <v>002 41 00</v>
          </cell>
          <cell r="F1857" t="str">
            <v>500</v>
          </cell>
        </row>
        <row r="1858">
          <cell r="A1858" t="str">
            <v>Расходы</v>
          </cell>
          <cell r="B1858" t="str">
            <v>902</v>
          </cell>
          <cell r="C1858" t="str">
            <v>10</v>
          </cell>
          <cell r="D1858" t="str">
            <v>06</v>
          </cell>
          <cell r="E1858" t="str">
            <v>002 41 00</v>
          </cell>
          <cell r="F1858" t="str">
            <v>500</v>
          </cell>
        </row>
        <row r="1859">
          <cell r="A1859" t="str">
            <v>Оплата труда и начисления на выплаты по оплате труда</v>
          </cell>
          <cell r="B1859" t="str">
            <v>902</v>
          </cell>
          <cell r="C1859" t="str">
            <v>10</v>
          </cell>
          <cell r="D1859" t="str">
            <v>06</v>
          </cell>
          <cell r="E1859" t="str">
            <v>002 41 00</v>
          </cell>
          <cell r="F1859" t="str">
            <v>500</v>
          </cell>
        </row>
        <row r="1860">
          <cell r="A1860" t="str">
            <v>Заработная плата</v>
          </cell>
          <cell r="B1860" t="str">
            <v>902</v>
          </cell>
          <cell r="C1860" t="str">
            <v>10</v>
          </cell>
          <cell r="D1860" t="str">
            <v>06</v>
          </cell>
          <cell r="E1860" t="str">
            <v>002 41 00</v>
          </cell>
          <cell r="F1860" t="str">
            <v>500</v>
          </cell>
        </row>
        <row r="1861">
          <cell r="A1861" t="str">
            <v>Прочие выплаты</v>
          </cell>
          <cell r="B1861" t="str">
            <v>902</v>
          </cell>
          <cell r="C1861" t="str">
            <v>10</v>
          </cell>
          <cell r="D1861" t="str">
            <v>06</v>
          </cell>
          <cell r="E1861" t="str">
            <v>002 41 00</v>
          </cell>
          <cell r="F1861" t="str">
            <v>500</v>
          </cell>
        </row>
        <row r="1862">
          <cell r="A1862" t="str">
            <v>Начисления на выплаты по оплате труда</v>
          </cell>
          <cell r="B1862" t="str">
            <v>902</v>
          </cell>
          <cell r="C1862" t="str">
            <v>10</v>
          </cell>
          <cell r="D1862" t="str">
            <v>06</v>
          </cell>
          <cell r="E1862" t="str">
            <v>002 41 00</v>
          </cell>
          <cell r="F1862" t="str">
            <v>500</v>
          </cell>
        </row>
        <row r="1863">
          <cell r="A1863" t="str">
            <v>Приобретение работ, услуг</v>
          </cell>
          <cell r="B1863" t="str">
            <v>902</v>
          </cell>
          <cell r="C1863" t="str">
            <v>10</v>
          </cell>
          <cell r="D1863" t="str">
            <v>06</v>
          </cell>
          <cell r="E1863" t="str">
            <v>002 41 00</v>
          </cell>
          <cell r="F1863" t="str">
            <v>500</v>
          </cell>
        </row>
        <row r="1864">
          <cell r="A1864" t="str">
            <v>Услуги связи</v>
          </cell>
          <cell r="B1864" t="str">
            <v>902</v>
          </cell>
          <cell r="C1864" t="str">
            <v>10</v>
          </cell>
          <cell r="D1864" t="str">
            <v>06</v>
          </cell>
          <cell r="E1864" t="str">
            <v>002 41 00</v>
          </cell>
          <cell r="F1864" t="str">
            <v>500</v>
          </cell>
        </row>
        <row r="1865">
          <cell r="A1865" t="str">
            <v>Транспортные услуги </v>
          </cell>
          <cell r="B1865" t="str">
            <v>902</v>
          </cell>
          <cell r="C1865" t="str">
            <v>10</v>
          </cell>
          <cell r="D1865" t="str">
            <v>06</v>
          </cell>
          <cell r="E1865" t="str">
            <v>002 41 00</v>
          </cell>
          <cell r="F1865" t="str">
            <v>500</v>
          </cell>
        </row>
        <row r="1866">
          <cell r="A1866" t="str">
            <v>Коммунальные услуги</v>
          </cell>
          <cell r="B1866" t="str">
            <v>902</v>
          </cell>
          <cell r="C1866" t="str">
            <v>10</v>
          </cell>
          <cell r="D1866" t="str">
            <v>06</v>
          </cell>
          <cell r="E1866" t="str">
            <v>002 41 00</v>
          </cell>
          <cell r="F1866" t="str">
            <v>500</v>
          </cell>
        </row>
        <row r="1867">
          <cell r="A1867" t="str">
            <v>Арендная плата за пользование имуществом</v>
          </cell>
          <cell r="B1867" t="str">
            <v>902</v>
          </cell>
          <cell r="C1867" t="str">
            <v>10</v>
          </cell>
          <cell r="D1867" t="str">
            <v>06</v>
          </cell>
          <cell r="E1867" t="str">
            <v>002 41 00</v>
          </cell>
          <cell r="F1867" t="str">
            <v>500</v>
          </cell>
        </row>
        <row r="1868">
          <cell r="A1868" t="str">
            <v>Работы, услуги по содержанию имущества</v>
          </cell>
          <cell r="B1868" t="str">
            <v>902</v>
          </cell>
          <cell r="C1868" t="str">
            <v>10</v>
          </cell>
          <cell r="D1868" t="str">
            <v>06</v>
          </cell>
          <cell r="E1868" t="str">
            <v>002 41 00</v>
          </cell>
          <cell r="F1868" t="str">
            <v>500</v>
          </cell>
        </row>
        <row r="1869">
          <cell r="A1869" t="str">
            <v>Прочие работы, услуги</v>
          </cell>
          <cell r="B1869" t="str">
            <v>902</v>
          </cell>
          <cell r="C1869" t="str">
            <v>10</v>
          </cell>
          <cell r="D1869" t="str">
            <v>06</v>
          </cell>
          <cell r="E1869" t="str">
            <v>002 41 00</v>
          </cell>
          <cell r="F1869" t="str">
            <v>500</v>
          </cell>
        </row>
        <row r="1870">
          <cell r="A1870" t="str">
            <v>Социальное обеспечение</v>
          </cell>
          <cell r="B1870" t="str">
            <v>902</v>
          </cell>
          <cell r="C1870" t="str">
            <v>10</v>
          </cell>
          <cell r="D1870" t="str">
            <v>06</v>
          </cell>
          <cell r="E1870" t="str">
            <v>002 41 00</v>
          </cell>
          <cell r="F1870" t="str">
            <v>500</v>
          </cell>
        </row>
        <row r="1871">
          <cell r="A1871" t="str">
            <v>Пособия по социальной помощи населению</v>
          </cell>
          <cell r="B1871" t="str">
            <v>902</v>
          </cell>
          <cell r="C1871" t="str">
            <v>10</v>
          </cell>
          <cell r="D1871" t="str">
            <v>06</v>
          </cell>
          <cell r="E1871" t="str">
            <v>002 41 00</v>
          </cell>
          <cell r="F1871" t="str">
            <v>500</v>
          </cell>
        </row>
        <row r="1872">
          <cell r="A1872" t="str">
            <v>Прочие расходы</v>
          </cell>
          <cell r="B1872" t="str">
            <v>902</v>
          </cell>
          <cell r="C1872" t="str">
            <v>10</v>
          </cell>
          <cell r="D1872" t="str">
            <v>06</v>
          </cell>
          <cell r="E1872" t="str">
            <v>002 41 00</v>
          </cell>
          <cell r="F1872" t="str">
            <v>500</v>
          </cell>
        </row>
        <row r="1873">
          <cell r="A1873" t="str">
            <v>Поступление нефинансовых активов</v>
          </cell>
          <cell r="B1873" t="str">
            <v>902</v>
          </cell>
          <cell r="C1873" t="str">
            <v>10</v>
          </cell>
          <cell r="D1873" t="str">
            <v>06</v>
          </cell>
          <cell r="E1873" t="str">
            <v>002 41 00</v>
          </cell>
          <cell r="F1873" t="str">
            <v>500</v>
          </cell>
        </row>
        <row r="1874">
          <cell r="A1874" t="str">
            <v>Увеличение стоимости основных средств</v>
          </cell>
          <cell r="B1874" t="str">
            <v>902</v>
          </cell>
          <cell r="C1874" t="str">
            <v>10</v>
          </cell>
          <cell r="D1874" t="str">
            <v>06</v>
          </cell>
          <cell r="E1874" t="str">
            <v>002 41 00</v>
          </cell>
          <cell r="F1874" t="str">
            <v>500</v>
          </cell>
        </row>
        <row r="1875">
          <cell r="A1875" t="str">
            <v>Увеличение стоимости нематериальных активов</v>
          </cell>
          <cell r="B1875" t="str">
            <v>902</v>
          </cell>
          <cell r="C1875" t="str">
            <v>10</v>
          </cell>
          <cell r="D1875" t="str">
            <v>06</v>
          </cell>
          <cell r="E1875" t="str">
            <v>002 41 00</v>
          </cell>
          <cell r="F1875" t="str">
            <v>500</v>
          </cell>
        </row>
        <row r="1876">
          <cell r="A1876" t="str">
            <v>Увеличение стоимости материальных запасов</v>
          </cell>
          <cell r="B1876" t="str">
            <v>902</v>
          </cell>
          <cell r="C1876" t="str">
            <v>10</v>
          </cell>
          <cell r="D1876" t="str">
            <v>06</v>
          </cell>
          <cell r="E1876" t="str">
            <v>002 41 00</v>
          </cell>
          <cell r="F1876" t="str">
            <v>500</v>
          </cell>
        </row>
        <row r="1877">
          <cell r="A1877" t="str">
            <v>Целевые программы муниципальных образований </v>
          </cell>
          <cell r="C1877" t="str">
            <v>10</v>
          </cell>
          <cell r="D1877" t="str">
            <v>06</v>
          </cell>
          <cell r="E1877" t="str">
            <v>795 00 00</v>
          </cell>
          <cell r="F1877" t="str">
            <v>000</v>
          </cell>
        </row>
        <row r="1878">
          <cell r="A1878" t="str">
            <v>Выполнение функций органами местного самоуправления</v>
          </cell>
          <cell r="C1878" t="str">
            <v>10</v>
          </cell>
          <cell r="D1878" t="str">
            <v>06</v>
          </cell>
          <cell r="E1878" t="str">
            <v>795 00 00</v>
          </cell>
          <cell r="F1878" t="str">
            <v>500</v>
          </cell>
        </row>
        <row r="1879">
          <cell r="A1879" t="str">
            <v>«Комплексные меры противодействия злоупотребления наркотическими средствами и психотропными веществами» на 2011-2013 г."</v>
          </cell>
          <cell r="B1879" t="str">
            <v>903</v>
          </cell>
          <cell r="C1879" t="str">
            <v>10</v>
          </cell>
          <cell r="D1879" t="str">
            <v>06</v>
          </cell>
          <cell r="E1879" t="str">
            <v>795 02 00</v>
          </cell>
          <cell r="F1879" t="str">
            <v>500</v>
          </cell>
        </row>
        <row r="1880">
          <cell r="B1880" t="str">
            <v>904</v>
          </cell>
          <cell r="C1880" t="str">
            <v>10</v>
          </cell>
          <cell r="D1880" t="str">
            <v>06</v>
          </cell>
          <cell r="E1880" t="str">
            <v>795 02 00</v>
          </cell>
          <cell r="F1880" t="str">
            <v>500</v>
          </cell>
        </row>
        <row r="1881">
          <cell r="B1881" t="str">
            <v>905</v>
          </cell>
          <cell r="C1881" t="str">
            <v>10</v>
          </cell>
          <cell r="D1881" t="str">
            <v>06</v>
          </cell>
          <cell r="E1881" t="str">
            <v>795 02 00</v>
          </cell>
          <cell r="F1881" t="str">
            <v>500</v>
          </cell>
        </row>
        <row r="1882">
          <cell r="A1882" t="str">
            <v>Празднование 67 -й годовщины  Победы и Великой отечественной войне на 2012 г"</v>
          </cell>
          <cell r="B1882" t="str">
            <v>902</v>
          </cell>
          <cell r="C1882" t="str">
            <v>10</v>
          </cell>
          <cell r="D1882" t="str">
            <v>06</v>
          </cell>
          <cell r="E1882" t="str">
            <v>795 20 00</v>
          </cell>
          <cell r="F1882" t="str">
            <v>500</v>
          </cell>
        </row>
        <row r="1883">
          <cell r="B1883" t="str">
            <v>905</v>
          </cell>
          <cell r="C1883" t="str">
            <v>10</v>
          </cell>
          <cell r="D1883" t="str">
            <v>06</v>
          </cell>
          <cell r="E1883" t="str">
            <v>795 20 00</v>
          </cell>
          <cell r="F1883" t="str">
            <v>500</v>
          </cell>
        </row>
        <row r="1884">
          <cell r="A1884" t="str">
            <v>Профилактика безнадзорности и  несовершеннолетних в Усольском районе  на 2011 -2013гг</v>
          </cell>
          <cell r="B1884" t="str">
            <v>903</v>
          </cell>
          <cell r="C1884" t="str">
            <v>10</v>
          </cell>
          <cell r="D1884" t="str">
            <v>06</v>
          </cell>
          <cell r="E1884" t="str">
            <v>795 22 00</v>
          </cell>
          <cell r="F1884" t="str">
            <v>500</v>
          </cell>
        </row>
        <row r="1885">
          <cell r="B1885" t="str">
            <v>905</v>
          </cell>
          <cell r="C1885" t="str">
            <v>10</v>
          </cell>
          <cell r="D1885" t="str">
            <v>06</v>
          </cell>
          <cell r="E1885" t="str">
            <v>795 22 00</v>
          </cell>
          <cell r="F1885" t="str">
            <v>500</v>
          </cell>
        </row>
        <row r="1886">
          <cell r="A1886" t="str">
            <v>Обеспечение жильем молодых семей Усольского района на 2012-2019гг.</v>
          </cell>
          <cell r="B1886" t="str">
            <v>905</v>
          </cell>
          <cell r="C1886" t="str">
            <v>10</v>
          </cell>
          <cell r="D1886" t="str">
            <v>06</v>
          </cell>
          <cell r="E1886" t="str">
            <v>795 24 00</v>
          </cell>
          <cell r="F1886" t="str">
            <v>500</v>
          </cell>
        </row>
        <row r="1887">
          <cell r="A1887" t="str">
            <v>Социально - экономическая поддержка молодых специалистов работающих в учреждениях образования, здравоохранения и культыры Усольского района на 2012-2014гг </v>
          </cell>
          <cell r="B1887" t="str">
            <v>903</v>
          </cell>
          <cell r="C1887" t="str">
            <v>10</v>
          </cell>
          <cell r="D1887" t="str">
            <v>06</v>
          </cell>
          <cell r="E1887" t="str">
            <v>795 34 00</v>
          </cell>
          <cell r="F1887" t="str">
            <v>500</v>
          </cell>
        </row>
        <row r="1888">
          <cell r="B1888" t="str">
            <v>905</v>
          </cell>
          <cell r="C1888" t="str">
            <v>10</v>
          </cell>
          <cell r="D1888" t="str">
            <v>06</v>
          </cell>
          <cell r="E1888" t="str">
            <v>795 34 00</v>
          </cell>
          <cell r="F1888" t="str">
            <v>500</v>
          </cell>
        </row>
        <row r="1889">
          <cell r="A1889" t="str">
            <v>"Старшее поколение на 2011 г"</v>
          </cell>
          <cell r="B1889" t="str">
            <v>902</v>
          </cell>
          <cell r="C1889" t="str">
            <v>10</v>
          </cell>
          <cell r="D1889" t="str">
            <v>06</v>
          </cell>
          <cell r="E1889" t="str">
            <v>795 27 00</v>
          </cell>
          <cell r="F1889" t="str">
            <v>500</v>
          </cell>
        </row>
        <row r="1890">
          <cell r="A1890" t="str">
            <v>Поступление нефинансовых активов</v>
          </cell>
          <cell r="B1890" t="str">
            <v>902</v>
          </cell>
          <cell r="C1890" t="str">
            <v>10</v>
          </cell>
          <cell r="D1890" t="str">
            <v>06</v>
          </cell>
          <cell r="E1890" t="str">
            <v>795 27 00</v>
          </cell>
          <cell r="F1890" t="str">
            <v>500</v>
          </cell>
        </row>
        <row r="1891">
          <cell r="A1891" t="str">
            <v>Увеличение стоимости материальных запасов </v>
          </cell>
          <cell r="B1891" t="str">
            <v>902</v>
          </cell>
          <cell r="C1891" t="str">
            <v>10</v>
          </cell>
          <cell r="D1891" t="str">
            <v>06</v>
          </cell>
          <cell r="E1891" t="str">
            <v>795 27 00</v>
          </cell>
          <cell r="F1891" t="str">
            <v>500</v>
          </cell>
        </row>
        <row r="1892">
          <cell r="B1892" t="str">
            <v>903</v>
          </cell>
          <cell r="C1892" t="str">
            <v>10</v>
          </cell>
          <cell r="D1892" t="str">
            <v>06</v>
          </cell>
          <cell r="E1892" t="str">
            <v>795 20 00</v>
          </cell>
          <cell r="F1892" t="str">
            <v>500</v>
          </cell>
        </row>
        <row r="1893">
          <cell r="B1893" t="str">
            <v>905</v>
          </cell>
          <cell r="C1893" t="str">
            <v>10</v>
          </cell>
          <cell r="D1893" t="str">
            <v>06</v>
          </cell>
          <cell r="E1893" t="str">
            <v>795 22 00</v>
          </cell>
          <cell r="F1893" t="str">
            <v>500</v>
          </cell>
        </row>
        <row r="1894">
          <cell r="B1894" t="str">
            <v>905</v>
          </cell>
          <cell r="C1894" t="str">
            <v>10</v>
          </cell>
          <cell r="D1894" t="str">
            <v>06</v>
          </cell>
          <cell r="E1894" t="str">
            <v>795 20 00</v>
          </cell>
          <cell r="F1894" t="str">
            <v>500</v>
          </cell>
        </row>
        <row r="1895">
          <cell r="A1895" t="str">
            <v>Целевые программы муниципальных образований "Комплексные меры злаупотребления наркотиками"</v>
          </cell>
          <cell r="C1895" t="str">
            <v>10</v>
          </cell>
          <cell r="D1895" t="str">
            <v>06</v>
          </cell>
          <cell r="E1895" t="str">
            <v>795 00 00</v>
          </cell>
          <cell r="F1895" t="str">
            <v>000</v>
          </cell>
        </row>
        <row r="1896">
          <cell r="A1896" t="str">
            <v>Выполнение функций органами местного самоуправления</v>
          </cell>
          <cell r="C1896" t="str">
            <v>10</v>
          </cell>
          <cell r="D1896" t="str">
            <v>06</v>
          </cell>
          <cell r="E1896" t="str">
            <v>795 00 00</v>
          </cell>
          <cell r="F1896" t="str">
            <v>500</v>
          </cell>
        </row>
        <row r="1897">
          <cell r="A1897" t="str">
            <v>Расходы</v>
          </cell>
          <cell r="C1897" t="str">
            <v>10</v>
          </cell>
          <cell r="D1897" t="str">
            <v>06</v>
          </cell>
          <cell r="E1897" t="str">
            <v>795 02 00</v>
          </cell>
          <cell r="F1897" t="str">
            <v>500</v>
          </cell>
        </row>
        <row r="1898">
          <cell r="A1898" t="str">
            <v>Приобретение работ, услуг</v>
          </cell>
          <cell r="C1898" t="str">
            <v>10</v>
          </cell>
          <cell r="D1898" t="str">
            <v>06</v>
          </cell>
          <cell r="E1898" t="str">
            <v>795 02 00</v>
          </cell>
          <cell r="F1898" t="str">
            <v>500</v>
          </cell>
        </row>
        <row r="1899">
          <cell r="A1899" t="str">
            <v>Почие услуги</v>
          </cell>
          <cell r="B1899" t="str">
            <v>902</v>
          </cell>
          <cell r="C1899" t="str">
            <v>10</v>
          </cell>
          <cell r="D1899" t="str">
            <v>06</v>
          </cell>
          <cell r="E1899" t="str">
            <v>795 02 00</v>
          </cell>
          <cell r="F1899" t="str">
            <v>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5"/>
    </sheetNames>
    <sheetDataSet>
      <sheetData sheetId="0">
        <row r="525">
          <cell r="A525" t="str">
            <v>Субвенции  на осуществление органами местного самоуправления ОГП по обеспечению жилыми помещениями детей сирот, оставшихся без попечения родителей</v>
          </cell>
          <cell r="B525" t="str">
            <v>902</v>
          </cell>
          <cell r="C525" t="str">
            <v>05</v>
          </cell>
          <cell r="D525" t="str">
            <v>01</v>
          </cell>
          <cell r="E525" t="str">
            <v>505 36 00</v>
          </cell>
          <cell r="F525" t="str">
            <v>000</v>
          </cell>
        </row>
        <row r="526">
          <cell r="A526" t="str">
            <v>ФБ</v>
          </cell>
          <cell r="B526" t="str">
            <v>902</v>
          </cell>
          <cell r="C526" t="str">
            <v>05</v>
          </cell>
          <cell r="D526" t="str">
            <v>01</v>
          </cell>
          <cell r="E526" t="str">
            <v>505 36 00</v>
          </cell>
          <cell r="F526" t="str">
            <v>000</v>
          </cell>
        </row>
        <row r="527">
          <cell r="A527" t="str">
            <v>Поступление нефинансовых активов</v>
          </cell>
          <cell r="B527" t="str">
            <v>902</v>
          </cell>
          <cell r="C527" t="str">
            <v>05</v>
          </cell>
          <cell r="D527" t="str">
            <v>01</v>
          </cell>
          <cell r="E527" t="str">
            <v>505 36 00</v>
          </cell>
          <cell r="F527" t="str">
            <v>003</v>
          </cell>
        </row>
        <row r="528">
          <cell r="A528" t="str">
            <v>Увеличение стоимости основных средств</v>
          </cell>
          <cell r="B528" t="str">
            <v>902</v>
          </cell>
          <cell r="C528" t="str">
            <v>05</v>
          </cell>
          <cell r="D528" t="str">
            <v>01</v>
          </cell>
          <cell r="E528" t="str">
            <v>505 36 00</v>
          </cell>
          <cell r="F528" t="str">
            <v>003</v>
          </cell>
        </row>
        <row r="529">
          <cell r="A529" t="str">
            <v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ФБ</v>
          </cell>
          <cell r="B529" t="str">
            <v>902</v>
          </cell>
          <cell r="C529" t="str">
            <v>05</v>
          </cell>
          <cell r="D529" t="str">
            <v>01</v>
          </cell>
          <cell r="E529" t="str">
            <v>505 36 00</v>
          </cell>
          <cell r="F529" t="str">
            <v>000</v>
          </cell>
        </row>
        <row r="530">
          <cell r="B530" t="str">
            <v>902</v>
          </cell>
          <cell r="C530" t="str">
            <v>05</v>
          </cell>
          <cell r="D530" t="str">
            <v>01</v>
          </cell>
          <cell r="E530" t="str">
            <v>505 36 00</v>
          </cell>
          <cell r="F530" t="str">
            <v>000</v>
          </cell>
        </row>
        <row r="531">
          <cell r="B531" t="str">
            <v>902</v>
          </cell>
          <cell r="C531" t="str">
            <v>05</v>
          </cell>
          <cell r="D531" t="str">
            <v>01</v>
          </cell>
          <cell r="E531" t="str">
            <v>505 36 00</v>
          </cell>
          <cell r="F531" t="str">
            <v>003</v>
          </cell>
        </row>
        <row r="532">
          <cell r="B532" t="str">
            <v>902</v>
          </cell>
          <cell r="C532" t="str">
            <v>05</v>
          </cell>
          <cell r="D532" t="str">
            <v>01</v>
          </cell>
          <cell r="E532" t="str">
            <v>505 36 00</v>
          </cell>
          <cell r="F532" t="str">
            <v>003</v>
          </cell>
        </row>
        <row r="533">
          <cell r="B533" t="str">
            <v>902</v>
          </cell>
          <cell r="C533" t="str">
            <v>05</v>
          </cell>
          <cell r="D533" t="str">
            <v>01</v>
          </cell>
          <cell r="E533" t="str">
            <v>505 36 00</v>
          </cell>
          <cell r="F533" t="str">
            <v>003</v>
          </cell>
        </row>
        <row r="534">
          <cell r="A534" t="str">
            <v>Поступление нефинансовых активов</v>
          </cell>
          <cell r="B534" t="str">
            <v>902</v>
          </cell>
          <cell r="C534" t="str">
            <v>05</v>
          </cell>
          <cell r="D534" t="str">
            <v>01</v>
          </cell>
          <cell r="E534" t="str">
            <v>505 36 00</v>
          </cell>
          <cell r="F534" t="str">
            <v>003</v>
          </cell>
        </row>
        <row r="535">
          <cell r="A535" t="str">
            <v>Увеличение стоимости основных средств</v>
          </cell>
          <cell r="B535" t="str">
            <v>902</v>
          </cell>
          <cell r="C535" t="str">
            <v>05</v>
          </cell>
          <cell r="D535" t="str">
            <v>01</v>
          </cell>
          <cell r="E535" t="str">
            <v>505 36 00</v>
          </cell>
          <cell r="F535" t="str">
            <v>003</v>
          </cell>
        </row>
        <row r="536">
          <cell r="A536" t="str">
            <v>Целевые программы муниципальных образований </v>
          </cell>
          <cell r="B536" t="str">
            <v>902</v>
          </cell>
          <cell r="C536" t="str">
            <v>05</v>
          </cell>
          <cell r="D536" t="str">
            <v>01</v>
          </cell>
          <cell r="E536" t="str">
            <v>795 00 00</v>
          </cell>
          <cell r="F536" t="str">
            <v>000</v>
          </cell>
        </row>
        <row r="537">
          <cell r="A537" t="str">
            <v>Выполнение функций органами местного самоуправления</v>
          </cell>
          <cell r="B537" t="str">
            <v>902</v>
          </cell>
          <cell r="C537" t="str">
            <v>05</v>
          </cell>
          <cell r="D537" t="str">
            <v>01</v>
          </cell>
          <cell r="E537" t="str">
            <v>795 00 00</v>
          </cell>
          <cell r="F537" t="str">
            <v>500</v>
          </cell>
        </row>
        <row r="538">
          <cell r="A538" t="str">
            <v>Расходы</v>
          </cell>
          <cell r="B538" t="str">
            <v>902</v>
          </cell>
          <cell r="C538" t="str">
            <v>05</v>
          </cell>
          <cell r="D538" t="str">
            <v>01</v>
          </cell>
          <cell r="E538" t="str">
            <v>795 00 00</v>
          </cell>
          <cell r="F538" t="str">
            <v>500</v>
          </cell>
        </row>
        <row r="539">
          <cell r="A539" t="str">
            <v>Приобретение работ, услуг</v>
          </cell>
          <cell r="B539" t="str">
            <v>902</v>
          </cell>
          <cell r="C539" t="str">
            <v>05</v>
          </cell>
          <cell r="D539" t="str">
            <v>01</v>
          </cell>
          <cell r="E539" t="str">
            <v>795 00 00</v>
          </cell>
          <cell r="F539" t="str">
            <v>500</v>
          </cell>
        </row>
        <row r="540">
          <cell r="A540" t="str">
            <v>"Переселение  граждан из ветхого и аварийного  жилиго фонда  на 2011-2013 гг"</v>
          </cell>
          <cell r="B540" t="str">
            <v>902</v>
          </cell>
          <cell r="C540" t="str">
            <v>05</v>
          </cell>
          <cell r="D540" t="str">
            <v>01</v>
          </cell>
          <cell r="E540" t="str">
            <v>795 24 00</v>
          </cell>
          <cell r="F540" t="str">
            <v>000</v>
          </cell>
        </row>
        <row r="541">
          <cell r="A541" t="str">
            <v>Прочие расходы "Переселение граждан из ветхого и аварийного жилья"</v>
          </cell>
          <cell r="B541" t="str">
            <v>902</v>
          </cell>
          <cell r="C541" t="str">
            <v>05</v>
          </cell>
          <cell r="D541" t="str">
            <v>01</v>
          </cell>
          <cell r="E541" t="str">
            <v>795 00 00</v>
          </cell>
          <cell r="F541" t="str">
            <v>500</v>
          </cell>
        </row>
        <row r="542">
          <cell r="A542" t="str">
            <v>Поступление нефинансовых активов</v>
          </cell>
          <cell r="B542" t="str">
            <v>902</v>
          </cell>
          <cell r="C542" t="str">
            <v>05</v>
          </cell>
          <cell r="D542" t="str">
            <v>01</v>
          </cell>
          <cell r="E542" t="str">
            <v>795 00 00</v>
          </cell>
          <cell r="F542" t="str">
            <v>500</v>
          </cell>
        </row>
        <row r="543">
          <cell r="A543" t="str">
            <v>Увеличение стоимости основных средств "Переселение граждан из ветхого и авар жилья"</v>
          </cell>
          <cell r="B543" t="str">
            <v>902</v>
          </cell>
          <cell r="C543" t="str">
            <v>05</v>
          </cell>
          <cell r="D543" t="str">
            <v>01</v>
          </cell>
          <cell r="E543" t="str">
            <v>795 00 00</v>
          </cell>
          <cell r="F543" t="str">
            <v>500</v>
          </cell>
        </row>
        <row r="544">
          <cell r="A544" t="str">
            <v>Выполнение функций органами местного самоуправления</v>
          </cell>
          <cell r="B544" t="str">
            <v>902</v>
          </cell>
          <cell r="C544" t="str">
            <v>05</v>
          </cell>
          <cell r="D544" t="str">
            <v>01</v>
          </cell>
          <cell r="E544" t="str">
            <v>795 24 00</v>
          </cell>
          <cell r="F544" t="str">
            <v>500</v>
          </cell>
        </row>
        <row r="545">
          <cell r="A545" t="str">
            <v>"Проведение капитального ремонта  многоквартирных жилых  домов на территории Усольского района  на 2012-2015 гг"</v>
          </cell>
          <cell r="B545" t="str">
            <v>902</v>
          </cell>
          <cell r="C545" t="str">
            <v>05</v>
          </cell>
          <cell r="D545" t="str">
            <v>01</v>
          </cell>
          <cell r="E545" t="str">
            <v>795 36 00</v>
          </cell>
          <cell r="F545" t="str">
            <v>000</v>
          </cell>
        </row>
        <row r="546">
          <cell r="A546" t="str">
            <v>Выполнение функций органами местного самоуправления</v>
          </cell>
          <cell r="B546" t="str">
            <v>902</v>
          </cell>
          <cell r="C546" t="str">
            <v>05</v>
          </cell>
          <cell r="D546" t="str">
            <v>01</v>
          </cell>
          <cell r="E546" t="str">
            <v>795 36 00</v>
          </cell>
          <cell r="F546" t="str">
            <v>500</v>
          </cell>
        </row>
        <row r="547">
          <cell r="A547" t="str">
            <v>Коммунальное хозяйство</v>
          </cell>
          <cell r="B547" t="str">
            <v>902</v>
          </cell>
          <cell r="C547" t="str">
            <v>05</v>
          </cell>
          <cell r="D547" t="str">
            <v>02</v>
          </cell>
          <cell r="E547" t="str">
            <v>000 00 00</v>
          </cell>
          <cell r="F547" t="str">
            <v>000</v>
          </cell>
        </row>
        <row r="548">
          <cell r="A548" t="str">
            <v>Резервные фонды</v>
          </cell>
          <cell r="B548" t="str">
            <v>902</v>
          </cell>
          <cell r="C548" t="str">
            <v>05</v>
          </cell>
          <cell r="D548" t="str">
            <v>02</v>
          </cell>
          <cell r="E548" t="str">
            <v>070 00 00</v>
          </cell>
          <cell r="F548" t="str">
            <v>000</v>
          </cell>
        </row>
        <row r="549">
          <cell r="A549" t="str">
            <v>Резервные фонды исполнительных органов государственной власти субъектов Российской Федерации</v>
          </cell>
          <cell r="B549" t="str">
            <v>902</v>
          </cell>
          <cell r="C549" t="str">
            <v>05</v>
          </cell>
          <cell r="D549" t="str">
            <v>02</v>
          </cell>
          <cell r="E549" t="str">
            <v>070 04 00</v>
          </cell>
          <cell r="F549" t="str">
            <v>000</v>
          </cell>
        </row>
        <row r="550">
          <cell r="A550" t="str">
            <v>Выполнение функций органами местного самоуправления</v>
          </cell>
          <cell r="B550" t="str">
            <v>902</v>
          </cell>
          <cell r="C550" t="str">
            <v>05</v>
          </cell>
          <cell r="D550" t="str">
            <v>02</v>
          </cell>
          <cell r="E550" t="str">
            <v>070 04 00</v>
          </cell>
          <cell r="F550" t="str">
            <v>500</v>
          </cell>
        </row>
        <row r="551">
          <cell r="A551" t="str">
            <v>Расходы</v>
          </cell>
          <cell r="B551" t="str">
            <v>902</v>
          </cell>
          <cell r="C551" t="str">
            <v>05</v>
          </cell>
          <cell r="D551" t="str">
            <v>02</v>
          </cell>
          <cell r="E551" t="str">
            <v>070  04 00</v>
          </cell>
          <cell r="F551" t="str">
            <v>500</v>
          </cell>
        </row>
        <row r="552">
          <cell r="A552" t="str">
            <v>Приобретение работ, услуг</v>
          </cell>
          <cell r="B552" t="str">
            <v>902</v>
          </cell>
          <cell r="C552" t="str">
            <v>05</v>
          </cell>
          <cell r="D552" t="str">
            <v>02</v>
          </cell>
          <cell r="E552" t="str">
            <v>070  04 00</v>
          </cell>
          <cell r="F552" t="str">
            <v>500</v>
          </cell>
        </row>
        <row r="553">
          <cell r="A553" t="str">
            <v>Работы, услуги по содержанию имущества</v>
          </cell>
          <cell r="B553" t="str">
            <v>902</v>
          </cell>
          <cell r="C553" t="str">
            <v>05</v>
          </cell>
          <cell r="D553" t="str">
            <v>02</v>
          </cell>
          <cell r="E553" t="str">
            <v>070 04 00</v>
          </cell>
          <cell r="F553" t="str">
            <v>500</v>
          </cell>
        </row>
        <row r="554">
          <cell r="A554" t="str">
            <v>Поддержка коммунального хозяйства </v>
          </cell>
          <cell r="B554" t="str">
            <v>902</v>
          </cell>
          <cell r="C554" t="str">
            <v>05</v>
          </cell>
          <cell r="D554" t="str">
            <v>02</v>
          </cell>
          <cell r="E554" t="str">
            <v>351 00 00</v>
          </cell>
          <cell r="F554" t="str">
            <v>000</v>
          </cell>
        </row>
        <row r="555">
          <cell r="A555" t="str">
            <v>Компенсация выпадающих доходов организациям, предоставляющим населению услуги теплоснабжения по тарифам, не обеспечивающим возмещение издержек</v>
          </cell>
          <cell r="B555" t="str">
            <v>902</v>
          </cell>
          <cell r="C555" t="str">
            <v>05</v>
          </cell>
          <cell r="D555" t="str">
            <v>02</v>
          </cell>
          <cell r="E555" t="str">
            <v>351 02 00</v>
          </cell>
          <cell r="F555" t="str">
            <v>000</v>
          </cell>
        </row>
        <row r="556">
          <cell r="A556" t="str">
            <v>Субсидии юридическим лицам</v>
          </cell>
          <cell r="B556" t="str">
            <v>902</v>
          </cell>
          <cell r="C556" t="str">
            <v>05</v>
          </cell>
          <cell r="D556" t="str">
            <v>02</v>
          </cell>
          <cell r="E556" t="str">
            <v>351 02 00</v>
          </cell>
          <cell r="F556" t="str">
            <v>006</v>
          </cell>
        </row>
        <row r="557">
          <cell r="A557" t="str">
            <v>Расходы</v>
          </cell>
          <cell r="B557" t="str">
            <v>902</v>
          </cell>
          <cell r="C557" t="str">
            <v>05</v>
          </cell>
          <cell r="D557" t="str">
            <v>02</v>
          </cell>
          <cell r="E557" t="str">
            <v>351 02 00</v>
          </cell>
          <cell r="F557" t="str">
            <v>006</v>
          </cell>
        </row>
        <row r="558">
          <cell r="A558" t="str">
            <v>Безвозмездные и безвозвратные перечисления  организациям </v>
          </cell>
          <cell r="B558" t="str">
            <v>902</v>
          </cell>
          <cell r="C558" t="str">
            <v>05</v>
          </cell>
          <cell r="D558" t="str">
            <v>02</v>
          </cell>
          <cell r="E558" t="str">
            <v>351 02 00</v>
          </cell>
          <cell r="F558" t="str">
            <v>006</v>
          </cell>
        </row>
        <row r="559">
          <cell r="A559" t="str">
            <v>Безвозмездные и безвозвратные перечисления организациям, за исключением государственных и муниципальных организаций район</v>
          </cell>
          <cell r="B559" t="str">
            <v>902</v>
          </cell>
          <cell r="C559" t="str">
            <v>05</v>
          </cell>
          <cell r="D559" t="str">
            <v>02</v>
          </cell>
          <cell r="E559" t="str">
            <v>351 02 00</v>
          </cell>
          <cell r="F559" t="str">
            <v>006</v>
          </cell>
        </row>
        <row r="560">
          <cell r="A560" t="str">
            <v>Безвозмездные и безвозвратные перечисления организациям, за исключением государственных и муниципальных организаций переданные Доп ЭК 8.30.00.00</v>
          </cell>
          <cell r="B560" t="str">
            <v>902</v>
          </cell>
          <cell r="C560" t="str">
            <v>05</v>
          </cell>
          <cell r="D560" t="str">
            <v>02</v>
          </cell>
          <cell r="E560" t="str">
            <v>351 02 00</v>
          </cell>
          <cell r="F560" t="str">
            <v>006</v>
          </cell>
        </row>
        <row r="561">
          <cell r="A561" t="str">
            <v>Мероприятия в области коммунального хозяйства по подготовке к зиме</v>
          </cell>
          <cell r="B561" t="str">
            <v>902</v>
          </cell>
          <cell r="C561" t="str">
            <v>05</v>
          </cell>
          <cell r="D561" t="str">
            <v>02</v>
          </cell>
          <cell r="E561" t="str">
            <v>351 05 00</v>
          </cell>
          <cell r="F561" t="str">
            <v>000</v>
          </cell>
        </row>
        <row r="562">
          <cell r="A562" t="str">
            <v>Выполнение функций органами местного самоуправления</v>
          </cell>
          <cell r="B562" t="str">
            <v>902</v>
          </cell>
          <cell r="C562" t="str">
            <v>05</v>
          </cell>
          <cell r="D562" t="str">
            <v>02</v>
          </cell>
          <cell r="E562" t="str">
            <v>351 05 00</v>
          </cell>
          <cell r="F562" t="str">
            <v>500</v>
          </cell>
        </row>
        <row r="563">
          <cell r="A563" t="str">
            <v>Расходы</v>
          </cell>
          <cell r="B563" t="str">
            <v>902</v>
          </cell>
          <cell r="C563" t="str">
            <v>05</v>
          </cell>
          <cell r="D563" t="str">
            <v>02</v>
          </cell>
          <cell r="E563" t="str">
            <v>351 05 00</v>
          </cell>
          <cell r="F563" t="str">
            <v>500</v>
          </cell>
        </row>
        <row r="564">
          <cell r="A564" t="str">
            <v>Приобретение работ, услуг</v>
          </cell>
          <cell r="B564" t="str">
            <v>902</v>
          </cell>
          <cell r="C564" t="str">
            <v>05</v>
          </cell>
          <cell r="D564" t="str">
            <v>02</v>
          </cell>
          <cell r="E564" t="str">
            <v>351 05 00</v>
          </cell>
          <cell r="F564" t="str">
            <v>500</v>
          </cell>
        </row>
        <row r="565">
          <cell r="A565" t="str">
            <v>Работы, услуги по содержанию имущества</v>
          </cell>
          <cell r="B565" t="str">
            <v>902</v>
          </cell>
          <cell r="C565" t="str">
            <v>05</v>
          </cell>
          <cell r="D565" t="str">
            <v>02</v>
          </cell>
          <cell r="E565" t="str">
            <v>351 05 00</v>
          </cell>
          <cell r="F565" t="str">
            <v>500</v>
          </cell>
        </row>
        <row r="566">
          <cell r="A566" t="str">
            <v>Поступление нефинансовых активов</v>
          </cell>
          <cell r="B566" t="str">
            <v>902</v>
          </cell>
          <cell r="C566" t="str">
            <v>05</v>
          </cell>
          <cell r="D566" t="str">
            <v>02</v>
          </cell>
          <cell r="E566" t="str">
            <v>351 05 00</v>
          </cell>
          <cell r="F566" t="str">
            <v>500</v>
          </cell>
        </row>
        <row r="567">
          <cell r="A567" t="str">
            <v>Увеличение стоимости основных средств</v>
          </cell>
          <cell r="B567" t="str">
            <v>902</v>
          </cell>
          <cell r="C567" t="str">
            <v>05</v>
          </cell>
          <cell r="D567" t="str">
            <v>02</v>
          </cell>
          <cell r="E567" t="str">
            <v>351 05 00</v>
          </cell>
          <cell r="F567" t="str">
            <v>500</v>
          </cell>
        </row>
        <row r="568">
          <cell r="A568" t="str">
            <v>Софинансирование социальных программ субъектов Российской Федерации, связанных с предоставлением субсидий бюджетам субъектов Российской Федерации на социальные программы субъектов Российской Федерации, связанные с укреплением материально-технической базы </v>
          </cell>
          <cell r="B568" t="str">
            <v>902</v>
          </cell>
          <cell r="C568" t="str">
            <v>05</v>
          </cell>
          <cell r="D568" t="str">
            <v>02</v>
          </cell>
          <cell r="E568" t="str">
            <v>521 00 00</v>
          </cell>
          <cell r="F568" t="str">
            <v>000</v>
          </cell>
        </row>
        <row r="569">
          <cell r="A569" t="str">
            <v>Субсидии в целях софинансирования расходных обязательств по организации в границах муниципальных образований электро-, тепло-, водоснабжения населения</v>
          </cell>
          <cell r="B569" t="str">
            <v>902</v>
          </cell>
          <cell r="C569" t="str">
            <v>05</v>
          </cell>
          <cell r="D569" t="str">
            <v>02</v>
          </cell>
          <cell r="E569" t="str">
            <v>521 01 05</v>
          </cell>
          <cell r="F569" t="str">
            <v>000</v>
          </cell>
        </row>
        <row r="570">
          <cell r="A570" t="str">
            <v>Субсидии юридическим лицам</v>
          </cell>
          <cell r="B570" t="str">
            <v>902</v>
          </cell>
          <cell r="C570" t="str">
            <v>05</v>
          </cell>
          <cell r="D570" t="str">
            <v>02</v>
          </cell>
          <cell r="E570" t="str">
            <v>521 01 05</v>
          </cell>
          <cell r="F570" t="str">
            <v>006</v>
          </cell>
        </row>
        <row r="571">
          <cell r="A571" t="str">
            <v>Расходы</v>
          </cell>
          <cell r="B571" t="str">
            <v>902</v>
          </cell>
          <cell r="C571" t="str">
            <v>05</v>
          </cell>
          <cell r="D571" t="str">
            <v>02</v>
          </cell>
          <cell r="E571" t="str">
            <v>521 01 05</v>
          </cell>
          <cell r="F571" t="str">
            <v>006</v>
          </cell>
        </row>
        <row r="572">
          <cell r="A572" t="str">
            <v>Безвозмездные и безвозвратные перечисления  организациям </v>
          </cell>
          <cell r="B572" t="str">
            <v>902</v>
          </cell>
          <cell r="C572" t="str">
            <v>05</v>
          </cell>
          <cell r="D572" t="str">
            <v>02</v>
          </cell>
          <cell r="E572" t="str">
            <v>521 01 05</v>
          </cell>
          <cell r="F572" t="str">
            <v>006</v>
          </cell>
        </row>
        <row r="573">
          <cell r="A573" t="str">
            <v>Безвозмездные и безвозвратные перечисления организациям, за исключением государственных и муниципальных организаций</v>
          </cell>
          <cell r="B573" t="str">
            <v>902</v>
          </cell>
          <cell r="C573" t="str">
            <v>05</v>
          </cell>
          <cell r="D573" t="str">
            <v>02</v>
          </cell>
          <cell r="E573" t="str">
            <v>521 01 05</v>
          </cell>
          <cell r="F573" t="str">
            <v>006</v>
          </cell>
        </row>
        <row r="574">
          <cell r="A574" t="str">
            <v>Долгосрочные целевые программы ОБ</v>
          </cell>
          <cell r="B574" t="str">
            <v>902</v>
          </cell>
          <cell r="C574" t="str">
            <v>05</v>
          </cell>
          <cell r="D574" t="str">
            <v>02</v>
          </cell>
          <cell r="E574" t="str">
            <v>522 00 00</v>
          </cell>
          <cell r="F574" t="str">
            <v>000</v>
          </cell>
        </row>
        <row r="575">
          <cell r="A575" t="str">
            <v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v>
          </cell>
          <cell r="B575" t="str">
            <v>902</v>
          </cell>
          <cell r="C575" t="str">
            <v>05</v>
          </cell>
          <cell r="D575" t="str">
            <v>02</v>
          </cell>
          <cell r="E575" t="str">
            <v>522 54 00</v>
          </cell>
          <cell r="F575" t="str">
            <v>000</v>
          </cell>
        </row>
        <row r="576">
          <cell r="A576" t="str">
            <v>Фонд софинансирования</v>
          </cell>
          <cell r="B576" t="str">
            <v>902</v>
          </cell>
          <cell r="C576" t="str">
            <v>05</v>
          </cell>
          <cell r="D576" t="str">
            <v>02</v>
          </cell>
          <cell r="E576" t="str">
            <v>522 54 00</v>
          </cell>
          <cell r="F576" t="str">
            <v>010</v>
          </cell>
        </row>
        <row r="577">
          <cell r="A577" t="str">
            <v>Приобретение услуг</v>
          </cell>
          <cell r="B577" t="str">
            <v>902</v>
          </cell>
          <cell r="C577" t="str">
            <v>05</v>
          </cell>
          <cell r="D577" t="str">
            <v>02</v>
          </cell>
          <cell r="E577" t="str">
            <v>522 54 00</v>
          </cell>
          <cell r="F577" t="str">
            <v>010</v>
          </cell>
        </row>
        <row r="578">
          <cell r="A578" t="str">
            <v>Услуги по содержанию иммущества</v>
          </cell>
          <cell r="B578" t="str">
            <v>902</v>
          </cell>
          <cell r="C578" t="str">
            <v>05</v>
          </cell>
          <cell r="D578" t="str">
            <v>02</v>
          </cell>
          <cell r="E578" t="str">
            <v>522 54 00</v>
          </cell>
          <cell r="F578" t="str">
            <v>010</v>
          </cell>
        </row>
        <row r="579">
          <cell r="A579" t="str">
            <v>Услуги по содержанию имущества </v>
          </cell>
          <cell r="B579" t="str">
            <v>902</v>
          </cell>
          <cell r="C579" t="str">
            <v>05</v>
          </cell>
          <cell r="D579" t="str">
            <v>02</v>
          </cell>
          <cell r="E579" t="str">
            <v>522 54 00</v>
          </cell>
          <cell r="F579" t="str">
            <v>010</v>
          </cell>
        </row>
        <row r="580">
          <cell r="A580" t="str">
            <v>Поступление нефинансовых активов</v>
          </cell>
          <cell r="B580" t="str">
            <v>902</v>
          </cell>
          <cell r="C580" t="str">
            <v>05</v>
          </cell>
          <cell r="D580" t="str">
            <v>02</v>
          </cell>
          <cell r="E580" t="str">
            <v>522 54 00</v>
          </cell>
          <cell r="F580" t="str">
            <v>010</v>
          </cell>
        </row>
        <row r="581">
          <cell r="A581" t="str">
            <v>Увеличение стоимости основных средств</v>
          </cell>
          <cell r="B581" t="str">
            <v>902</v>
          </cell>
          <cell r="C581" t="str">
            <v>05</v>
          </cell>
          <cell r="D581" t="str">
            <v>02</v>
          </cell>
          <cell r="E581" t="str">
            <v>522 54 00</v>
          </cell>
          <cell r="F581" t="str">
            <v>010</v>
          </cell>
        </row>
        <row r="582">
          <cell r="A582" t="str">
            <v>Увеличение стоимости материальных запасов</v>
          </cell>
          <cell r="B582" t="str">
            <v>902</v>
          </cell>
          <cell r="C582" t="str">
            <v>05</v>
          </cell>
          <cell r="D582" t="str">
            <v>02</v>
          </cell>
          <cell r="E582" t="str">
            <v>522 54 00</v>
          </cell>
          <cell r="F582" t="str">
            <v>010</v>
          </cell>
        </row>
        <row r="585">
          <cell r="A585" t="str">
            <v>Целевые программы муниципальных образований </v>
          </cell>
          <cell r="B585" t="str">
            <v>902</v>
          </cell>
          <cell r="C585" t="str">
            <v>05</v>
          </cell>
          <cell r="D585" t="str">
            <v>02</v>
          </cell>
          <cell r="E585" t="str">
            <v>795 00 00</v>
          </cell>
          <cell r="F585" t="str">
            <v>000 </v>
          </cell>
        </row>
        <row r="586">
          <cell r="A586" t="str">
            <v>Выполнение функций органами местного самоуправления</v>
          </cell>
          <cell r="B586" t="str">
            <v>902</v>
          </cell>
          <cell r="C586" t="str">
            <v>05</v>
          </cell>
          <cell r="D586" t="str">
            <v>02</v>
          </cell>
          <cell r="E586" t="str">
            <v>795 00 00</v>
          </cell>
          <cell r="F586" t="str">
            <v>500</v>
          </cell>
        </row>
        <row r="587">
          <cell r="A587" t="str">
            <v>"Энергосбережение и повышение энергетической эффективности на 2010-2015 г"</v>
          </cell>
          <cell r="B587" t="str">
            <v>902</v>
          </cell>
          <cell r="C587" t="str">
            <v>05</v>
          </cell>
          <cell r="D587" t="str">
            <v>02</v>
          </cell>
          <cell r="E587" t="str">
            <v>795 25 00</v>
          </cell>
          <cell r="F587" t="str">
            <v>000</v>
          </cell>
        </row>
        <row r="588">
          <cell r="B588" t="str">
            <v>902</v>
          </cell>
          <cell r="C588" t="str">
            <v>05</v>
          </cell>
          <cell r="D588" t="str">
            <v>02</v>
          </cell>
          <cell r="E588" t="str">
            <v>795 25 00</v>
          </cell>
          <cell r="F588" t="str">
            <v>500</v>
          </cell>
        </row>
        <row r="589">
          <cell r="A589" t="str">
            <v>Услуги по содержанию имущества </v>
          </cell>
          <cell r="B589" t="str">
            <v>902</v>
          </cell>
          <cell r="C589" t="str">
            <v>05</v>
          </cell>
          <cell r="D589" t="str">
            <v>02</v>
          </cell>
          <cell r="E589" t="str">
            <v>795 25 00</v>
          </cell>
          <cell r="F589" t="str">
            <v>500</v>
          </cell>
        </row>
        <row r="590">
          <cell r="A590" t="str">
            <v>Услуги по содержанию имущества </v>
          </cell>
          <cell r="B590" t="str">
            <v>903</v>
          </cell>
          <cell r="C590" t="str">
            <v>05</v>
          </cell>
          <cell r="D590" t="str">
            <v>02</v>
          </cell>
          <cell r="E590" t="str">
            <v>795 25 00</v>
          </cell>
          <cell r="F590" t="str">
            <v>500</v>
          </cell>
        </row>
        <row r="591">
          <cell r="A591" t="str">
            <v>Услуги по содержанию имущества </v>
          </cell>
          <cell r="B591" t="str">
            <v>904</v>
          </cell>
          <cell r="C591" t="str">
            <v>05</v>
          </cell>
          <cell r="D591" t="str">
            <v>02</v>
          </cell>
          <cell r="E591" t="str">
            <v>795 25 00</v>
          </cell>
          <cell r="F591" t="str">
            <v>500</v>
          </cell>
        </row>
        <row r="592">
          <cell r="B592" t="str">
            <v>905</v>
          </cell>
          <cell r="C592" t="str">
            <v>05</v>
          </cell>
          <cell r="D592" t="str">
            <v>02</v>
          </cell>
          <cell r="E592" t="str">
            <v>795 25 00</v>
          </cell>
          <cell r="F592" t="str">
            <v>500</v>
          </cell>
        </row>
        <row r="593">
          <cell r="B593" t="str">
            <v>905</v>
          </cell>
          <cell r="C593" t="str">
            <v>05</v>
          </cell>
          <cell r="D593" t="str">
            <v>02</v>
          </cell>
          <cell r="E593" t="str">
            <v>795 25 00</v>
          </cell>
          <cell r="F593" t="str">
            <v>500</v>
          </cell>
        </row>
        <row r="594">
          <cell r="A594" t="str">
            <v>Прочие услуги</v>
          </cell>
          <cell r="B594" t="str">
            <v>902</v>
          </cell>
          <cell r="C594" t="str">
            <v>05</v>
          </cell>
          <cell r="D594" t="str">
            <v>02</v>
          </cell>
          <cell r="E594" t="str">
            <v>795 26 00</v>
          </cell>
          <cell r="F594" t="str">
            <v>500</v>
          </cell>
        </row>
        <row r="595">
          <cell r="A595" t="str">
            <v>Услуги по содержанию имущества </v>
          </cell>
          <cell r="B595" t="str">
            <v>902</v>
          </cell>
          <cell r="C595" t="str">
            <v>05</v>
          </cell>
          <cell r="D595" t="str">
            <v>02</v>
          </cell>
          <cell r="E595" t="str">
            <v>795 00 00</v>
          </cell>
          <cell r="F595" t="str">
            <v>500</v>
          </cell>
        </row>
        <row r="596">
          <cell r="A596" t="str">
            <v>Услуги по содержанию имущества </v>
          </cell>
          <cell r="B596" t="str">
            <v>902</v>
          </cell>
          <cell r="C596" t="str">
            <v>05</v>
          </cell>
          <cell r="D596" t="str">
            <v>02</v>
          </cell>
          <cell r="E596" t="str">
            <v>795 00 00</v>
          </cell>
          <cell r="F596" t="str">
            <v>500</v>
          </cell>
        </row>
        <row r="597">
          <cell r="A597" t="str">
            <v>Прочие расходы </v>
          </cell>
          <cell r="B597" t="str">
            <v>902</v>
          </cell>
          <cell r="C597" t="str">
            <v>05</v>
          </cell>
          <cell r="D597" t="str">
            <v>02</v>
          </cell>
          <cell r="E597" t="str">
            <v>795 00 00</v>
          </cell>
          <cell r="F597" t="str">
            <v>500</v>
          </cell>
        </row>
        <row r="598">
          <cell r="A598" t="str">
            <v>Прочие расходы </v>
          </cell>
          <cell r="B598" t="str">
            <v>902</v>
          </cell>
          <cell r="C598" t="str">
            <v>05</v>
          </cell>
          <cell r="D598" t="str">
            <v>02</v>
          </cell>
          <cell r="E598" t="str">
            <v>79500 00</v>
          </cell>
          <cell r="F598" t="str">
            <v>500</v>
          </cell>
        </row>
        <row r="599">
          <cell r="A599" t="str">
            <v>Поступление нефинансовых активов</v>
          </cell>
          <cell r="B599" t="str">
            <v>902</v>
          </cell>
          <cell r="C599" t="str">
            <v>05</v>
          </cell>
          <cell r="D599" t="str">
            <v>02</v>
          </cell>
          <cell r="E599" t="str">
            <v>795 00 00</v>
          </cell>
          <cell r="F599" t="str">
            <v>500</v>
          </cell>
        </row>
        <row r="600">
          <cell r="A600" t="str">
            <v>Увеличение стоимости основных средств</v>
          </cell>
          <cell r="B600" t="str">
            <v>902</v>
          </cell>
          <cell r="C600" t="str">
            <v>05</v>
          </cell>
          <cell r="D600" t="str">
            <v>02</v>
          </cell>
          <cell r="E600" t="str">
            <v>795 00 00</v>
          </cell>
          <cell r="F600" t="str">
            <v>500</v>
          </cell>
        </row>
        <row r="601">
          <cell r="A601" t="str">
            <v>Жилищно- коммунальное хозяйство </v>
          </cell>
          <cell r="C601" t="str">
            <v>05</v>
          </cell>
          <cell r="D601" t="str">
            <v>00</v>
          </cell>
          <cell r="E601" t="str">
            <v>000 00 00</v>
          </cell>
          <cell r="F601" t="str">
            <v>000</v>
          </cell>
        </row>
        <row r="602">
          <cell r="A602" t="str">
            <v>Расходы</v>
          </cell>
          <cell r="C602" t="str">
            <v>05</v>
          </cell>
          <cell r="D602" t="str">
            <v>00</v>
          </cell>
          <cell r="E602" t="str">
            <v>000 00 00</v>
          </cell>
          <cell r="F602" t="str">
            <v>000</v>
          </cell>
        </row>
        <row r="603">
          <cell r="A603" t="str">
            <v>Оплата труда и начисления на оплату труда</v>
          </cell>
          <cell r="C603" t="str">
            <v>05</v>
          </cell>
          <cell r="D603" t="str">
            <v>00</v>
          </cell>
          <cell r="E603" t="str">
            <v>000 00 00</v>
          </cell>
          <cell r="F603" t="str">
            <v>000</v>
          </cell>
        </row>
        <row r="604">
          <cell r="A604" t="str">
            <v>Заработная плата</v>
          </cell>
          <cell r="C604" t="str">
            <v>05</v>
          </cell>
          <cell r="D604" t="str">
            <v>00</v>
          </cell>
          <cell r="E604" t="str">
            <v>000 00 00</v>
          </cell>
          <cell r="F604" t="str">
            <v>000</v>
          </cell>
        </row>
        <row r="605">
          <cell r="A605" t="str">
            <v>Прочие выплаты</v>
          </cell>
          <cell r="C605" t="str">
            <v>05</v>
          </cell>
          <cell r="D605" t="str">
            <v>00</v>
          </cell>
          <cell r="E605" t="str">
            <v>000 00 00</v>
          </cell>
          <cell r="F605" t="str">
            <v>000</v>
          </cell>
        </row>
        <row r="606">
          <cell r="A606" t="str">
            <v>Начисление на оплату труда</v>
          </cell>
          <cell r="C606" t="str">
            <v>05</v>
          </cell>
          <cell r="D606" t="str">
            <v>00</v>
          </cell>
          <cell r="E606" t="str">
            <v>000 00 00</v>
          </cell>
          <cell r="F606" t="str">
            <v>000</v>
          </cell>
        </row>
        <row r="607">
          <cell r="A607" t="str">
            <v>Приобретение услуг</v>
          </cell>
          <cell r="C607" t="str">
            <v>05</v>
          </cell>
          <cell r="D607" t="str">
            <v>00</v>
          </cell>
          <cell r="E607" t="str">
            <v>000 00 00</v>
          </cell>
          <cell r="F607" t="str">
            <v>000</v>
          </cell>
        </row>
        <row r="608">
          <cell r="A608" t="str">
            <v>Услуги связи </v>
          </cell>
          <cell r="C608" t="str">
            <v>05</v>
          </cell>
          <cell r="D608" t="str">
            <v>00</v>
          </cell>
          <cell r="E608" t="str">
            <v>000 00 00</v>
          </cell>
          <cell r="F608" t="str">
            <v>000</v>
          </cell>
        </row>
        <row r="609">
          <cell r="A609" t="str">
            <v>Транспортные услуги</v>
          </cell>
          <cell r="C609" t="str">
            <v>05</v>
          </cell>
          <cell r="D609" t="str">
            <v>00</v>
          </cell>
          <cell r="E609" t="str">
            <v>000 00 00</v>
          </cell>
          <cell r="F609" t="str">
            <v>000</v>
          </cell>
        </row>
        <row r="610">
          <cell r="A610" t="str">
            <v>Коммунальные услуги</v>
          </cell>
          <cell r="C610" t="str">
            <v>05</v>
          </cell>
          <cell r="D610" t="str">
            <v>00</v>
          </cell>
          <cell r="E610" t="str">
            <v>000 00 00</v>
          </cell>
          <cell r="F610" t="str">
            <v>000</v>
          </cell>
        </row>
        <row r="611">
          <cell r="A611" t="str">
            <v>Арендная плата за пользование иммуществом </v>
          </cell>
          <cell r="C611" t="str">
            <v>05</v>
          </cell>
          <cell r="D611" t="str">
            <v>00</v>
          </cell>
          <cell r="E611" t="str">
            <v>000 00 00</v>
          </cell>
          <cell r="F611" t="str">
            <v>000</v>
          </cell>
        </row>
        <row r="612">
          <cell r="A612" t="str">
            <v>Услуги по содержанию иммущества</v>
          </cell>
          <cell r="C612" t="str">
            <v>05</v>
          </cell>
          <cell r="D612" t="str">
            <v>00</v>
          </cell>
          <cell r="E612" t="str">
            <v>000 00 00</v>
          </cell>
          <cell r="F612" t="str">
            <v>000</v>
          </cell>
        </row>
        <row r="613">
          <cell r="A613" t="str">
            <v>Прочие услуги</v>
          </cell>
          <cell r="C613" t="str">
            <v>05</v>
          </cell>
          <cell r="D613" t="str">
            <v>00</v>
          </cell>
          <cell r="E613" t="str">
            <v>000 00 00</v>
          </cell>
          <cell r="F613" t="str">
            <v>000</v>
          </cell>
        </row>
        <row r="614">
          <cell r="A614" t="str">
            <v>Безвозмездные и безвозвратные перечисления  организациям </v>
          </cell>
          <cell r="C614" t="str">
            <v>05</v>
          </cell>
          <cell r="D614" t="str">
            <v>00</v>
          </cell>
          <cell r="E614" t="str">
            <v>000 00 00</v>
          </cell>
          <cell r="F614" t="str">
            <v>000</v>
          </cell>
        </row>
        <row r="615">
          <cell r="A615" t="str">
            <v>Безвозмездные и безвозвратные перечисления организациям, за исключением государственных и муниципальных организаций</v>
          </cell>
          <cell r="C615" t="str">
            <v>05</v>
          </cell>
          <cell r="D615" t="str">
            <v>00</v>
          </cell>
          <cell r="E615" t="str">
            <v>000 00 00</v>
          </cell>
          <cell r="F615" t="str">
            <v>000</v>
          </cell>
        </row>
        <row r="616">
          <cell r="A616" t="str">
            <v>Прочие расходы</v>
          </cell>
          <cell r="C616" t="str">
            <v>05</v>
          </cell>
          <cell r="D616" t="str">
            <v>00</v>
          </cell>
          <cell r="E616" t="str">
            <v>000 00 00</v>
          </cell>
          <cell r="F616" t="str">
            <v>000</v>
          </cell>
        </row>
        <row r="617">
          <cell r="A617" t="str">
            <v>Поступление нефинансовых активов</v>
          </cell>
          <cell r="C617" t="str">
            <v>05</v>
          </cell>
          <cell r="D617" t="str">
            <v>00</v>
          </cell>
          <cell r="E617" t="str">
            <v>000 00 00</v>
          </cell>
          <cell r="F617" t="str">
            <v>000</v>
          </cell>
        </row>
        <row r="618">
          <cell r="A618" t="str">
            <v>Увеличение стоимости основных средств</v>
          </cell>
          <cell r="C618" t="str">
            <v>05</v>
          </cell>
          <cell r="D618" t="str">
            <v>00</v>
          </cell>
          <cell r="E618" t="str">
            <v>000 00 00</v>
          </cell>
          <cell r="F618" t="str">
            <v>000</v>
          </cell>
        </row>
        <row r="619">
          <cell r="A619" t="str">
            <v>Увеличение стоимости материальных запасов</v>
          </cell>
          <cell r="C619" t="str">
            <v>05</v>
          </cell>
          <cell r="D619" t="str">
            <v>00</v>
          </cell>
          <cell r="E619" t="str">
            <v>000 00 00</v>
          </cell>
          <cell r="F619" t="str">
            <v>000</v>
          </cell>
        </row>
        <row r="620">
          <cell r="A620" t="str">
            <v>ИТОГО:</v>
          </cell>
          <cell r="C620" t="str">
            <v>05</v>
          </cell>
          <cell r="D620" t="str">
            <v>00</v>
          </cell>
          <cell r="E620" t="str">
            <v>000 00 00</v>
          </cell>
          <cell r="F620" t="str">
            <v>000</v>
          </cell>
        </row>
        <row r="621">
          <cell r="A621" t="str">
            <v>Выполнение функций органами местного самоуправления</v>
          </cell>
          <cell r="B621" t="str">
            <v>902</v>
          </cell>
          <cell r="C621" t="str">
            <v>05</v>
          </cell>
          <cell r="D621" t="str">
            <v>02</v>
          </cell>
          <cell r="E621" t="str">
            <v>795 25 00</v>
          </cell>
          <cell r="F621" t="str">
            <v>500</v>
          </cell>
        </row>
        <row r="622">
          <cell r="A622" t="str">
            <v>Выполнение функций органами местного самоуправления</v>
          </cell>
          <cell r="B622" t="str">
            <v>903</v>
          </cell>
          <cell r="C622" t="str">
            <v>05</v>
          </cell>
          <cell r="D622" t="str">
            <v>02</v>
          </cell>
          <cell r="E622" t="str">
            <v>795 25 00</v>
          </cell>
          <cell r="F622" t="str">
            <v>500</v>
          </cell>
        </row>
        <row r="623">
          <cell r="A623" t="str">
            <v>"Модернизация объектов  коммунальной инфраструктуры"</v>
          </cell>
          <cell r="B623" t="str">
            <v>902</v>
          </cell>
          <cell r="C623" t="str">
            <v>05</v>
          </cell>
          <cell r="D623" t="str">
            <v>02</v>
          </cell>
          <cell r="E623" t="str">
            <v>795 26  00</v>
          </cell>
          <cell r="F623" t="str">
            <v>000</v>
          </cell>
        </row>
        <row r="624">
          <cell r="A624" t="str">
            <v>Выполнение функций органами местного самоуправления</v>
          </cell>
          <cell r="B624" t="str">
            <v>902</v>
          </cell>
          <cell r="C624" t="str">
            <v>05</v>
          </cell>
          <cell r="D624" t="str">
            <v>02</v>
          </cell>
          <cell r="E624" t="str">
            <v>795 26  00</v>
          </cell>
          <cell r="F624" t="str">
            <v>500</v>
          </cell>
        </row>
        <row r="625">
          <cell r="A625" t="str">
            <v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v>
          </cell>
          <cell r="B625" t="str">
            <v>902</v>
          </cell>
          <cell r="C625" t="str">
            <v>05</v>
          </cell>
          <cell r="D625" t="str">
            <v>02</v>
          </cell>
          <cell r="E625" t="str">
            <v>522 54 00</v>
          </cell>
          <cell r="F625" t="str">
            <v>000</v>
          </cell>
        </row>
        <row r="626">
          <cell r="A626" t="str">
            <v>Фонд софинансирования</v>
          </cell>
          <cell r="B626" t="str">
            <v>902</v>
          </cell>
          <cell r="C626" t="str">
            <v>05</v>
          </cell>
          <cell r="D626" t="str">
            <v>02</v>
          </cell>
          <cell r="E626" t="str">
            <v>522 54 00</v>
          </cell>
          <cell r="F626" t="str">
            <v>010</v>
          </cell>
        </row>
        <row r="627">
          <cell r="A627" t="str">
            <v>Образование</v>
          </cell>
          <cell r="C627" t="str">
            <v>07</v>
          </cell>
          <cell r="D627" t="str">
            <v>00</v>
          </cell>
          <cell r="E627" t="str">
            <v>000 00 00 </v>
          </cell>
          <cell r="F627" t="str">
            <v>000</v>
          </cell>
        </row>
        <row r="628">
          <cell r="A628" t="str">
            <v>Дошкольное образование</v>
          </cell>
          <cell r="B628" t="str">
            <v>903</v>
          </cell>
          <cell r="C628" t="str">
            <v>07</v>
          </cell>
          <cell r="D628" t="str">
            <v>01</v>
          </cell>
          <cell r="E628" t="str">
            <v>000 00 00</v>
          </cell>
          <cell r="F628" t="str">
            <v>000</v>
          </cell>
        </row>
        <row r="629">
          <cell r="A629" t="str">
            <v>Детские дошкольные учреждения</v>
          </cell>
          <cell r="B629" t="str">
            <v>903</v>
          </cell>
          <cell r="C629" t="str">
            <v>07</v>
          </cell>
          <cell r="D629" t="str">
            <v>01</v>
          </cell>
          <cell r="E629" t="str">
            <v>420 00 00</v>
          </cell>
          <cell r="F629" t="str">
            <v>000</v>
          </cell>
        </row>
        <row r="630">
          <cell r="A630" t="str">
            <v>Обеспечение деятельности подведомственных учреждений</v>
          </cell>
          <cell r="B630" t="str">
            <v>903</v>
          </cell>
          <cell r="C630" t="str">
            <v>07</v>
          </cell>
          <cell r="D630" t="str">
            <v>01</v>
          </cell>
          <cell r="E630" t="str">
            <v>420 99 00</v>
          </cell>
          <cell r="F630" t="str">
            <v>000</v>
          </cell>
        </row>
        <row r="631">
          <cell r="A631" t="str">
            <v>Выполнение функций бюджетными учреждениями</v>
          </cell>
          <cell r="B631" t="str">
            <v>903</v>
          </cell>
          <cell r="C631" t="str">
            <v>07</v>
          </cell>
          <cell r="D631" t="str">
            <v>01</v>
          </cell>
          <cell r="E631" t="str">
            <v>420 99 00</v>
          </cell>
          <cell r="F631" t="str">
            <v>001</v>
          </cell>
        </row>
        <row r="632">
          <cell r="A632" t="str">
            <v>Расходы</v>
          </cell>
          <cell r="B632" t="str">
            <v>903</v>
          </cell>
          <cell r="C632" t="str">
            <v>07</v>
          </cell>
          <cell r="D632" t="str">
            <v>01</v>
          </cell>
          <cell r="E632" t="str">
            <v>420 99 00</v>
          </cell>
          <cell r="F632" t="str">
            <v>001</v>
          </cell>
        </row>
        <row r="633">
          <cell r="A633" t="str">
            <v>Оплата труда и начисления на оплату труда</v>
          </cell>
          <cell r="B633" t="str">
            <v>903</v>
          </cell>
          <cell r="C633" t="str">
            <v>07</v>
          </cell>
          <cell r="D633" t="str">
            <v>01</v>
          </cell>
          <cell r="E633" t="str">
            <v>420 99 00</v>
          </cell>
          <cell r="F633" t="str">
            <v>001</v>
          </cell>
        </row>
        <row r="634">
          <cell r="A634" t="str">
            <v>Заработная плата</v>
          </cell>
          <cell r="B634" t="str">
            <v>903</v>
          </cell>
          <cell r="C634" t="str">
            <v>07</v>
          </cell>
          <cell r="D634" t="str">
            <v>01</v>
          </cell>
          <cell r="E634" t="str">
            <v>420 99 00</v>
          </cell>
          <cell r="F634" t="str">
            <v>001</v>
          </cell>
        </row>
        <row r="635">
          <cell r="A635" t="str">
            <v>Прочие выплаты</v>
          </cell>
          <cell r="B635" t="str">
            <v>903</v>
          </cell>
          <cell r="C635" t="str">
            <v>07</v>
          </cell>
          <cell r="D635" t="str">
            <v>01</v>
          </cell>
          <cell r="E635" t="str">
            <v>420 99 00</v>
          </cell>
          <cell r="F635" t="str">
            <v>001</v>
          </cell>
        </row>
        <row r="636">
          <cell r="A636" t="str">
            <v>льготы  пед работникам 8.01.10.00</v>
          </cell>
          <cell r="B636" t="str">
            <v>903</v>
          </cell>
          <cell r="C636" t="str">
            <v>07</v>
          </cell>
          <cell r="D636" t="str">
            <v>01</v>
          </cell>
          <cell r="E636" t="str">
            <v>420 99 00</v>
          </cell>
          <cell r="F636" t="str">
            <v>001</v>
          </cell>
        </row>
        <row r="637">
          <cell r="A637" t="str">
            <v>Начисление на оплату труда</v>
          </cell>
          <cell r="B637" t="str">
            <v>903</v>
          </cell>
          <cell r="C637" t="str">
            <v>07</v>
          </cell>
          <cell r="D637" t="str">
            <v>01</v>
          </cell>
          <cell r="E637" t="str">
            <v>420 99 00</v>
          </cell>
          <cell r="F637" t="str">
            <v>001</v>
          </cell>
        </row>
        <row r="638">
          <cell r="A638" t="str">
            <v>Приобретение услуг</v>
          </cell>
          <cell r="B638" t="str">
            <v>903</v>
          </cell>
          <cell r="C638" t="str">
            <v>07</v>
          </cell>
          <cell r="D638" t="str">
            <v>01</v>
          </cell>
          <cell r="E638" t="str">
            <v>420 99 00</v>
          </cell>
          <cell r="F638" t="str">
            <v>001</v>
          </cell>
        </row>
        <row r="639">
          <cell r="A639" t="str">
            <v>Услуги связи </v>
          </cell>
          <cell r="B639" t="str">
            <v>903</v>
          </cell>
          <cell r="C639" t="str">
            <v>07</v>
          </cell>
          <cell r="D639" t="str">
            <v>01</v>
          </cell>
          <cell r="E639" t="str">
            <v>420 99 00</v>
          </cell>
          <cell r="F639" t="str">
            <v>001</v>
          </cell>
        </row>
        <row r="640">
          <cell r="A640" t="str">
            <v>Транспортные услуги</v>
          </cell>
          <cell r="B640" t="str">
            <v>903</v>
          </cell>
          <cell r="C640" t="str">
            <v>07</v>
          </cell>
          <cell r="D640" t="str">
            <v>01</v>
          </cell>
          <cell r="E640" t="str">
            <v>420 99 00</v>
          </cell>
          <cell r="F640" t="str">
            <v>001</v>
          </cell>
        </row>
        <row r="641">
          <cell r="A641" t="str">
            <v>Коммунальные услуги</v>
          </cell>
          <cell r="B641" t="str">
            <v>903</v>
          </cell>
          <cell r="C641" t="str">
            <v>07</v>
          </cell>
          <cell r="D641" t="str">
            <v>01</v>
          </cell>
          <cell r="E641" t="str">
            <v>420 99 00</v>
          </cell>
          <cell r="F641" t="str">
            <v>001</v>
          </cell>
        </row>
        <row r="642">
          <cell r="A642" t="str">
            <v>Арендная плата за пользование иммуществом </v>
          </cell>
          <cell r="B642" t="str">
            <v>903</v>
          </cell>
          <cell r="C642" t="str">
            <v>07</v>
          </cell>
          <cell r="D642" t="str">
            <v>01</v>
          </cell>
          <cell r="E642" t="str">
            <v>420 99 00</v>
          </cell>
          <cell r="F642" t="str">
            <v>001</v>
          </cell>
        </row>
        <row r="643">
          <cell r="A643" t="str">
            <v>Услуги по содержанию иммущества</v>
          </cell>
          <cell r="B643" t="str">
            <v>903</v>
          </cell>
          <cell r="C643" t="str">
            <v>07</v>
          </cell>
          <cell r="D643" t="str">
            <v>01</v>
          </cell>
          <cell r="E643" t="str">
            <v>420 99 00</v>
          </cell>
          <cell r="F643" t="str">
            <v>001</v>
          </cell>
        </row>
        <row r="644">
          <cell r="A644" t="str">
            <v>Услуги по содержанию иммущества 8.40.00</v>
          </cell>
          <cell r="B644" t="str">
            <v>903</v>
          </cell>
          <cell r="C644" t="str">
            <v>07</v>
          </cell>
          <cell r="D644" t="str">
            <v>01</v>
          </cell>
          <cell r="E644" t="str">
            <v>420 99 00</v>
          </cell>
          <cell r="F644" t="str">
            <v>001</v>
          </cell>
        </row>
        <row r="645">
          <cell r="A645" t="str">
            <v>Услуги по содержанию иммущества 8.40.01</v>
          </cell>
          <cell r="B645" t="str">
            <v>903</v>
          </cell>
          <cell r="C645" t="str">
            <v>07</v>
          </cell>
          <cell r="D645" t="str">
            <v>01</v>
          </cell>
          <cell r="E645" t="str">
            <v>420 99 00</v>
          </cell>
          <cell r="F645" t="str">
            <v>001</v>
          </cell>
        </row>
        <row r="646">
          <cell r="A646" t="str">
            <v>8,40,02</v>
          </cell>
          <cell r="B646" t="str">
            <v>903</v>
          </cell>
          <cell r="C646" t="str">
            <v>07</v>
          </cell>
          <cell r="D646" t="str">
            <v>01</v>
          </cell>
          <cell r="E646" t="str">
            <v>420 99 00</v>
          </cell>
          <cell r="F646" t="str">
            <v>001</v>
          </cell>
        </row>
        <row r="647">
          <cell r="A647" t="str">
            <v>Услуги по содержанию иммущества   8.40.01 Кап ремонты</v>
          </cell>
          <cell r="B647" t="str">
            <v>903</v>
          </cell>
          <cell r="C647" t="str">
            <v>07</v>
          </cell>
          <cell r="D647" t="str">
            <v>01</v>
          </cell>
          <cell r="E647" t="str">
            <v>420 99 00</v>
          </cell>
          <cell r="F647" t="str">
            <v>001</v>
          </cell>
        </row>
        <row r="648">
          <cell r="A648" t="str">
            <v>Услуги по содержанию иммущества   8.40.02 Кап ремонты</v>
          </cell>
          <cell r="B648" t="str">
            <v>903</v>
          </cell>
          <cell r="C648" t="str">
            <v>07</v>
          </cell>
          <cell r="D648" t="str">
            <v>01</v>
          </cell>
          <cell r="E648" t="str">
            <v>420 99 00</v>
          </cell>
          <cell r="F648" t="str">
            <v>001</v>
          </cell>
        </row>
        <row r="649">
          <cell r="A649" t="str">
            <v>Прочие услуги</v>
          </cell>
          <cell r="B649" t="str">
            <v>903</v>
          </cell>
          <cell r="C649" t="str">
            <v>07</v>
          </cell>
          <cell r="D649" t="str">
            <v>01</v>
          </cell>
          <cell r="E649" t="str">
            <v>420 99 00</v>
          </cell>
          <cell r="F649" t="str">
            <v>001</v>
          </cell>
        </row>
        <row r="650">
          <cell r="A650" t="str">
            <v>Социальное обеспечение</v>
          </cell>
          <cell r="B650" t="str">
            <v>903</v>
          </cell>
          <cell r="C650" t="str">
            <v>07</v>
          </cell>
          <cell r="D650" t="str">
            <v>01</v>
          </cell>
          <cell r="E650" t="str">
            <v>420 99 00</v>
          </cell>
          <cell r="F650" t="str">
            <v>001</v>
          </cell>
        </row>
        <row r="651">
          <cell r="A651" t="str">
            <v>Пособия по социальной помощи населению</v>
          </cell>
          <cell r="B651" t="str">
            <v>903</v>
          </cell>
          <cell r="C651" t="str">
            <v>07</v>
          </cell>
          <cell r="D651" t="str">
            <v>01</v>
          </cell>
          <cell r="E651" t="str">
            <v>420 99 00</v>
          </cell>
          <cell r="F651" t="str">
            <v>001</v>
          </cell>
        </row>
        <row r="652">
          <cell r="A652" t="str">
            <v>Прочие расходы </v>
          </cell>
          <cell r="B652" t="str">
            <v>903</v>
          </cell>
          <cell r="C652" t="str">
            <v>07</v>
          </cell>
          <cell r="D652" t="str">
            <v>01</v>
          </cell>
          <cell r="E652" t="str">
            <v>420 99 00</v>
          </cell>
          <cell r="F652" t="str">
            <v>001</v>
          </cell>
        </row>
        <row r="653">
          <cell r="A653" t="str">
            <v>Поступление нефинансовых активов</v>
          </cell>
          <cell r="B653" t="str">
            <v>903</v>
          </cell>
          <cell r="C653" t="str">
            <v>07</v>
          </cell>
          <cell r="D653" t="str">
            <v>01</v>
          </cell>
          <cell r="E653" t="str">
            <v>420 99 00</v>
          </cell>
          <cell r="F653" t="str">
            <v>001</v>
          </cell>
        </row>
        <row r="654">
          <cell r="A654" t="str">
            <v>Увеличение стоимости основных средств</v>
          </cell>
          <cell r="B654" t="str">
            <v>903</v>
          </cell>
          <cell r="C654" t="str">
            <v>07</v>
          </cell>
          <cell r="D654" t="str">
            <v>01</v>
          </cell>
          <cell r="E654" t="str">
            <v>420 99 00</v>
          </cell>
          <cell r="F654" t="str">
            <v>001</v>
          </cell>
        </row>
        <row r="655">
          <cell r="A655" t="str">
            <v>8,40,02</v>
          </cell>
          <cell r="B655" t="str">
            <v>903</v>
          </cell>
          <cell r="C655" t="str">
            <v>07</v>
          </cell>
          <cell r="D655" t="str">
            <v>01</v>
          </cell>
          <cell r="E655" t="str">
            <v>420 99 00</v>
          </cell>
          <cell r="F655" t="str">
            <v>001</v>
          </cell>
        </row>
        <row r="656">
          <cell r="A656" t="str">
            <v>Увеличение стоимости материальных запасов</v>
          </cell>
          <cell r="B656" t="str">
            <v>903</v>
          </cell>
          <cell r="C656" t="str">
            <v>07</v>
          </cell>
          <cell r="D656" t="str">
            <v>01</v>
          </cell>
          <cell r="E656" t="str">
            <v>420 99 00</v>
          </cell>
          <cell r="F656" t="str">
            <v>001</v>
          </cell>
        </row>
        <row r="657">
          <cell r="A657" t="str">
            <v>8,40,02</v>
          </cell>
          <cell r="B657" t="str">
            <v>903</v>
          </cell>
          <cell r="C657" t="str">
            <v>07</v>
          </cell>
          <cell r="D657" t="str">
            <v>01</v>
          </cell>
          <cell r="E657" t="str">
            <v>420 99 00</v>
          </cell>
          <cell r="F657" t="str">
            <v>001</v>
          </cell>
        </row>
        <row r="658">
          <cell r="A658" t="str">
            <v>Субсидии некоммерческим организациям</v>
          </cell>
          <cell r="B658" t="str">
            <v>903</v>
          </cell>
          <cell r="C658" t="str">
            <v>07</v>
          </cell>
          <cell r="D658" t="str">
            <v>01</v>
          </cell>
          <cell r="E658" t="str">
            <v>420 99 00</v>
          </cell>
          <cell r="F658" t="str">
            <v>019</v>
          </cell>
        </row>
        <row r="659">
          <cell r="A659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B659" t="str">
            <v>903</v>
          </cell>
          <cell r="C659" t="str">
            <v>07</v>
          </cell>
          <cell r="D659" t="str">
            <v>01</v>
          </cell>
          <cell r="E659" t="str">
            <v>589 00 00</v>
          </cell>
          <cell r="F659" t="str">
            <v>000</v>
          </cell>
        </row>
        <row r="660">
          <cell r="A660" t="str">
            <v>Выполнение функций бюджетными учреждениями</v>
          </cell>
          <cell r="B660" t="str">
            <v>903</v>
          </cell>
          <cell r="C660" t="str">
            <v>07</v>
          </cell>
          <cell r="D660" t="str">
            <v>01</v>
          </cell>
          <cell r="E660" t="str">
            <v>589 00 00</v>
          </cell>
          <cell r="F660" t="str">
            <v>001</v>
          </cell>
        </row>
        <row r="661">
          <cell r="A661" t="str">
            <v>Субсидии некоммерческим организациям</v>
          </cell>
          <cell r="B661" t="str">
            <v>903</v>
          </cell>
          <cell r="C661" t="str">
            <v>07</v>
          </cell>
          <cell r="D661" t="str">
            <v>01</v>
          </cell>
          <cell r="E661" t="str">
            <v>589 00 00</v>
          </cell>
          <cell r="F661" t="str">
            <v>019</v>
          </cell>
        </row>
        <row r="662">
          <cell r="B662" t="str">
            <v>903</v>
          </cell>
          <cell r="C662" t="str">
            <v>07</v>
          </cell>
          <cell r="D662" t="str">
            <v>01</v>
          </cell>
          <cell r="E662" t="str">
            <v>589 00 00</v>
          </cell>
        </row>
        <row r="663">
          <cell r="B663" t="str">
            <v>903</v>
          </cell>
          <cell r="C663" t="str">
            <v>07</v>
          </cell>
          <cell r="D663" t="str">
            <v>01</v>
          </cell>
          <cell r="E663" t="str">
            <v>589 00 00</v>
          </cell>
        </row>
        <row r="664">
          <cell r="A664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664" t="str">
            <v>903</v>
          </cell>
          <cell r="C664" t="str">
            <v>07</v>
          </cell>
          <cell r="D664" t="str">
            <v>01</v>
          </cell>
          <cell r="E664" t="str">
            <v>590 00 00</v>
          </cell>
          <cell r="F664" t="str">
            <v>000</v>
          </cell>
        </row>
        <row r="665">
          <cell r="A665" t="str">
            <v>Выполнение функций бюджетными учреждениями</v>
          </cell>
          <cell r="B665" t="str">
            <v>903</v>
          </cell>
          <cell r="C665" t="str">
            <v>07</v>
          </cell>
          <cell r="D665" t="str">
            <v>01</v>
          </cell>
          <cell r="E665" t="str">
            <v>590 00 00</v>
          </cell>
          <cell r="F665" t="str">
            <v>001</v>
          </cell>
        </row>
        <row r="666">
          <cell r="A666" t="str">
            <v>Субсидии некоммерческим организациям</v>
          </cell>
          <cell r="B666" t="str">
            <v>903</v>
          </cell>
          <cell r="C666" t="str">
            <v>07</v>
          </cell>
          <cell r="D666" t="str">
            <v>01</v>
          </cell>
          <cell r="E666" t="str">
            <v>590 00 00</v>
          </cell>
          <cell r="F666" t="str">
            <v>019</v>
          </cell>
        </row>
        <row r="667">
          <cell r="A667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667" t="str">
            <v>903</v>
          </cell>
          <cell r="C667" t="str">
            <v>07</v>
          </cell>
          <cell r="D667" t="str">
            <v>01</v>
          </cell>
          <cell r="E667" t="str">
            <v>594 00 00</v>
          </cell>
          <cell r="F667" t="str">
            <v>000</v>
          </cell>
        </row>
        <row r="668">
          <cell r="A668" t="str">
            <v>Субсидии некоммерческим организациям</v>
          </cell>
          <cell r="B668" t="str">
            <v>903</v>
          </cell>
          <cell r="C668" t="str">
            <v>07</v>
          </cell>
          <cell r="D668" t="str">
            <v>01</v>
          </cell>
          <cell r="E668" t="str">
            <v>594 00 00</v>
          </cell>
          <cell r="F668" t="str">
            <v>019</v>
          </cell>
        </row>
        <row r="669">
          <cell r="A669" t="str">
            <v>Общее образование</v>
          </cell>
          <cell r="C669" t="str">
            <v>07</v>
          </cell>
          <cell r="D669" t="str">
            <v>02</v>
          </cell>
          <cell r="E669" t="str">
            <v>000 00 00</v>
          </cell>
          <cell r="F669" t="str">
            <v>000</v>
          </cell>
        </row>
        <row r="670">
          <cell r="A670" t="str">
            <v>Школы-детские сады, школы начальные, неполные средние и средние</v>
          </cell>
          <cell r="B670" t="str">
            <v>903</v>
          </cell>
          <cell r="C670" t="str">
            <v>07</v>
          </cell>
          <cell r="D670" t="str">
            <v>02</v>
          </cell>
          <cell r="E670" t="str">
            <v>421 00 00</v>
          </cell>
          <cell r="F670" t="str">
            <v>000</v>
          </cell>
        </row>
        <row r="671">
          <cell r="A671" t="str">
            <v>Обеспечение деятельности подведомственных учреждений</v>
          </cell>
          <cell r="B671" t="str">
            <v>903</v>
          </cell>
          <cell r="C671" t="str">
            <v>07</v>
          </cell>
          <cell r="D671" t="str">
            <v>02</v>
          </cell>
          <cell r="E671" t="str">
            <v>421 99 00</v>
          </cell>
          <cell r="F671" t="str">
            <v>000</v>
          </cell>
        </row>
        <row r="672">
          <cell r="A672" t="str">
            <v>Выполнение функций бюджетными учреждениями</v>
          </cell>
          <cell r="B672" t="str">
            <v>903</v>
          </cell>
          <cell r="C672" t="str">
            <v>07</v>
          </cell>
          <cell r="D672" t="str">
            <v>02</v>
          </cell>
          <cell r="E672" t="str">
            <v>421 99 00</v>
          </cell>
          <cell r="F672" t="str">
            <v>001</v>
          </cell>
        </row>
        <row r="673">
          <cell r="A673" t="str">
            <v>Расходы</v>
          </cell>
          <cell r="B673" t="str">
            <v>903</v>
          </cell>
          <cell r="C673" t="str">
            <v>07</v>
          </cell>
          <cell r="D673" t="str">
            <v>02</v>
          </cell>
          <cell r="E673" t="str">
            <v>421 99 00</v>
          </cell>
          <cell r="F673" t="str">
            <v>001</v>
          </cell>
        </row>
        <row r="674">
          <cell r="A674" t="str">
            <v>Оплата труда и начисления на оплату труда</v>
          </cell>
          <cell r="B674" t="str">
            <v>903</v>
          </cell>
          <cell r="C674" t="str">
            <v>07</v>
          </cell>
          <cell r="D674" t="str">
            <v>02</v>
          </cell>
          <cell r="E674" t="str">
            <v>421 99 00</v>
          </cell>
          <cell r="F674" t="str">
            <v>001</v>
          </cell>
        </row>
        <row r="675">
          <cell r="A675" t="str">
            <v>Заработная плата</v>
          </cell>
          <cell r="B675" t="str">
            <v>903</v>
          </cell>
          <cell r="C675" t="str">
            <v>07</v>
          </cell>
          <cell r="D675" t="str">
            <v>02</v>
          </cell>
          <cell r="E675" t="str">
            <v>421 99 00</v>
          </cell>
          <cell r="F675" t="str">
            <v>001</v>
          </cell>
        </row>
        <row r="676">
          <cell r="A676" t="str">
            <v>Заработная плата 8.08.00</v>
          </cell>
          <cell r="B676" t="str">
            <v>903</v>
          </cell>
          <cell r="C676" t="str">
            <v>07</v>
          </cell>
          <cell r="D676" t="str">
            <v>02</v>
          </cell>
          <cell r="E676" t="str">
            <v>421 99 00</v>
          </cell>
          <cell r="F676" t="str">
            <v>001</v>
          </cell>
        </row>
        <row r="677">
          <cell r="A677" t="str">
            <v>Прочие выплаты</v>
          </cell>
          <cell r="B677" t="str">
            <v>903</v>
          </cell>
          <cell r="C677" t="str">
            <v>07</v>
          </cell>
          <cell r="D677" t="str">
            <v>02</v>
          </cell>
          <cell r="E677" t="str">
            <v>421 99 00</v>
          </cell>
          <cell r="F677" t="str">
            <v>001</v>
          </cell>
        </row>
        <row r="678">
          <cell r="A678" t="str">
            <v>льготы  пед. работникам 8.01.10.00</v>
          </cell>
          <cell r="B678" t="str">
            <v>903</v>
          </cell>
          <cell r="C678" t="str">
            <v>07</v>
          </cell>
          <cell r="D678" t="str">
            <v>02</v>
          </cell>
          <cell r="E678" t="str">
            <v>421 99 00</v>
          </cell>
          <cell r="F678" t="str">
            <v>001</v>
          </cell>
        </row>
        <row r="679">
          <cell r="A679" t="str">
            <v>Начисление на оплату труда</v>
          </cell>
          <cell r="B679" t="str">
            <v>903</v>
          </cell>
          <cell r="C679" t="str">
            <v>07</v>
          </cell>
          <cell r="D679" t="str">
            <v>02</v>
          </cell>
          <cell r="E679" t="str">
            <v>421 99 00</v>
          </cell>
          <cell r="F679" t="str">
            <v>001</v>
          </cell>
        </row>
        <row r="680">
          <cell r="A680" t="str">
            <v>Начисление на оплату труда 8.08.00.00</v>
          </cell>
          <cell r="B680" t="str">
            <v>903</v>
          </cell>
          <cell r="C680" t="str">
            <v>07</v>
          </cell>
          <cell r="D680" t="str">
            <v>02</v>
          </cell>
          <cell r="E680" t="str">
            <v>421 99 00</v>
          </cell>
          <cell r="F680" t="str">
            <v>001</v>
          </cell>
        </row>
        <row r="681">
          <cell r="A681" t="str">
            <v>Приобретение услуг</v>
          </cell>
          <cell r="B681" t="str">
            <v>903</v>
          </cell>
          <cell r="C681" t="str">
            <v>07</v>
          </cell>
          <cell r="D681" t="str">
            <v>02</v>
          </cell>
          <cell r="E681" t="str">
            <v>421 99 00</v>
          </cell>
          <cell r="F681" t="str">
            <v>001</v>
          </cell>
        </row>
        <row r="682">
          <cell r="A682" t="str">
            <v>Услуги связи </v>
          </cell>
          <cell r="B682" t="str">
            <v>903</v>
          </cell>
          <cell r="C682" t="str">
            <v>07</v>
          </cell>
          <cell r="D682" t="str">
            <v>02</v>
          </cell>
          <cell r="E682" t="str">
            <v>421 99 00</v>
          </cell>
          <cell r="F682" t="str">
            <v>001</v>
          </cell>
        </row>
        <row r="683">
          <cell r="A683" t="str">
            <v>Услуги связи  8.05.00.00</v>
          </cell>
          <cell r="B683" t="str">
            <v>903</v>
          </cell>
          <cell r="C683" t="str">
            <v>07</v>
          </cell>
          <cell r="D683" t="str">
            <v>02</v>
          </cell>
          <cell r="E683" t="str">
            <v>421 99 00</v>
          </cell>
          <cell r="F683" t="str">
            <v>001</v>
          </cell>
        </row>
        <row r="684">
          <cell r="A684" t="str">
            <v>Транспортные услуги</v>
          </cell>
          <cell r="B684" t="str">
            <v>903</v>
          </cell>
          <cell r="C684" t="str">
            <v>07</v>
          </cell>
          <cell r="D684" t="str">
            <v>02</v>
          </cell>
          <cell r="E684" t="str">
            <v>421 99 00</v>
          </cell>
          <cell r="F684" t="str">
            <v>001</v>
          </cell>
        </row>
        <row r="685">
          <cell r="A685" t="str">
            <v>Коммунальные услуги</v>
          </cell>
          <cell r="B685" t="str">
            <v>903</v>
          </cell>
          <cell r="C685" t="str">
            <v>07</v>
          </cell>
          <cell r="D685" t="str">
            <v>02</v>
          </cell>
          <cell r="E685" t="str">
            <v>421 99 00</v>
          </cell>
          <cell r="F685" t="str">
            <v>001</v>
          </cell>
        </row>
        <row r="686">
          <cell r="A686" t="str">
            <v>Арендная плата за пользование иммуществом </v>
          </cell>
          <cell r="B686" t="str">
            <v>903</v>
          </cell>
          <cell r="C686" t="str">
            <v>07</v>
          </cell>
          <cell r="D686" t="str">
            <v>02</v>
          </cell>
          <cell r="E686" t="str">
            <v>421 99 00</v>
          </cell>
          <cell r="F686" t="str">
            <v>001</v>
          </cell>
        </row>
        <row r="687">
          <cell r="A687" t="str">
            <v>Услуги по содержанию иммущества</v>
          </cell>
          <cell r="B687" t="str">
            <v>903</v>
          </cell>
          <cell r="C687" t="str">
            <v>07</v>
          </cell>
          <cell r="D687" t="str">
            <v>02</v>
          </cell>
          <cell r="E687" t="str">
            <v>421 99 00</v>
          </cell>
          <cell r="F687" t="str">
            <v>001</v>
          </cell>
        </row>
        <row r="688">
          <cell r="A688" t="str">
            <v>Услуги по содержанию иммущества 8.40.00</v>
          </cell>
          <cell r="B688" t="str">
            <v>903</v>
          </cell>
          <cell r="C688" t="str">
            <v>07</v>
          </cell>
          <cell r="D688" t="str">
            <v>02</v>
          </cell>
          <cell r="E688" t="str">
            <v>421 99 00</v>
          </cell>
          <cell r="F688" t="str">
            <v>001</v>
          </cell>
        </row>
        <row r="689">
          <cell r="A689" t="str">
            <v>Услуги по содержанию иммущества 8.40.01</v>
          </cell>
          <cell r="B689" t="str">
            <v>903</v>
          </cell>
          <cell r="C689" t="str">
            <v>07</v>
          </cell>
          <cell r="D689" t="str">
            <v>02</v>
          </cell>
          <cell r="E689" t="str">
            <v>421 99 00</v>
          </cell>
          <cell r="F689" t="str">
            <v>001</v>
          </cell>
        </row>
        <row r="690">
          <cell r="A690" t="str">
            <v>Услуги по содержанию иммущества 8.40.02</v>
          </cell>
          <cell r="B690" t="str">
            <v>903</v>
          </cell>
          <cell r="C690" t="str">
            <v>07</v>
          </cell>
          <cell r="D690" t="str">
            <v>02</v>
          </cell>
          <cell r="E690" t="str">
            <v>421 99 00</v>
          </cell>
          <cell r="F690" t="str">
            <v>001</v>
          </cell>
        </row>
        <row r="691">
          <cell r="A691" t="str">
            <v>Услуги по содержанию иммущества 8,40,01 Кап ремонты</v>
          </cell>
          <cell r="B691" t="str">
            <v>903</v>
          </cell>
          <cell r="C691" t="str">
            <v>07</v>
          </cell>
          <cell r="D691" t="str">
            <v>02</v>
          </cell>
          <cell r="E691" t="str">
            <v>421 99 00</v>
          </cell>
          <cell r="F691" t="str">
            <v>001</v>
          </cell>
        </row>
        <row r="692">
          <cell r="A692" t="str">
            <v>Услуги по содержанию иммущества 8,40,02 Кап ремонты</v>
          </cell>
          <cell r="B692" t="str">
            <v>903</v>
          </cell>
          <cell r="C692" t="str">
            <v>07</v>
          </cell>
          <cell r="D692" t="str">
            <v>02</v>
          </cell>
          <cell r="E692" t="str">
            <v>421 99 00</v>
          </cell>
          <cell r="F692" t="str">
            <v>001</v>
          </cell>
        </row>
        <row r="693">
          <cell r="A693" t="str">
            <v>Прочие услуги</v>
          </cell>
          <cell r="B693" t="str">
            <v>903</v>
          </cell>
          <cell r="C693" t="str">
            <v>07</v>
          </cell>
          <cell r="D693" t="str">
            <v>02</v>
          </cell>
          <cell r="E693" t="str">
            <v>421 99 00</v>
          </cell>
          <cell r="F693" t="str">
            <v>001</v>
          </cell>
        </row>
        <row r="694">
          <cell r="A694" t="str">
            <v>Прочие услуги 8.05.00</v>
          </cell>
          <cell r="B694" t="str">
            <v>903</v>
          </cell>
          <cell r="C694" t="str">
            <v>07</v>
          </cell>
          <cell r="D694" t="str">
            <v>02</v>
          </cell>
          <cell r="E694" t="str">
            <v>421 99 00</v>
          </cell>
          <cell r="F694" t="str">
            <v>001</v>
          </cell>
        </row>
        <row r="695">
          <cell r="A695" t="str">
            <v>Прочие услуги 8.40.00</v>
          </cell>
          <cell r="B695" t="str">
            <v>903</v>
          </cell>
          <cell r="C695" t="str">
            <v>07</v>
          </cell>
          <cell r="D695" t="str">
            <v>02</v>
          </cell>
          <cell r="E695" t="str">
            <v>421 99 00</v>
          </cell>
          <cell r="F695" t="str">
            <v>001</v>
          </cell>
        </row>
        <row r="696">
          <cell r="A696" t="str">
            <v>Прочие услуги 8.40.02</v>
          </cell>
          <cell r="B696" t="str">
            <v>903</v>
          </cell>
          <cell r="C696" t="str">
            <v>07</v>
          </cell>
          <cell r="D696" t="str">
            <v>02</v>
          </cell>
          <cell r="E696" t="str">
            <v>422 99 00</v>
          </cell>
          <cell r="F696" t="str">
            <v>001</v>
          </cell>
        </row>
        <row r="697">
          <cell r="A697" t="str">
            <v>Социальное обеспечение</v>
          </cell>
          <cell r="B697" t="str">
            <v>903</v>
          </cell>
          <cell r="C697" t="str">
            <v>07</v>
          </cell>
          <cell r="D697" t="str">
            <v>02</v>
          </cell>
          <cell r="E697" t="str">
            <v>421 99 00</v>
          </cell>
          <cell r="F697" t="str">
            <v>001</v>
          </cell>
        </row>
        <row r="698">
          <cell r="A698" t="str">
            <v>Пособия по социальной помощи населению</v>
          </cell>
          <cell r="B698" t="str">
            <v>903</v>
          </cell>
          <cell r="C698" t="str">
            <v>07</v>
          </cell>
          <cell r="D698" t="str">
            <v>02</v>
          </cell>
          <cell r="E698" t="str">
            <v>421 99 00</v>
          </cell>
          <cell r="F698" t="str">
            <v>001</v>
          </cell>
        </row>
        <row r="699">
          <cell r="A699" t="str">
            <v>Прочие расходы </v>
          </cell>
          <cell r="B699" t="str">
            <v>903</v>
          </cell>
          <cell r="C699" t="str">
            <v>07</v>
          </cell>
          <cell r="D699" t="str">
            <v>02</v>
          </cell>
          <cell r="E699" t="str">
            <v>421 99 00</v>
          </cell>
          <cell r="F699" t="str">
            <v>001</v>
          </cell>
        </row>
        <row r="700">
          <cell r="A700" t="str">
            <v>Поступление нефинансовых активов</v>
          </cell>
          <cell r="B700" t="str">
            <v>903</v>
          </cell>
          <cell r="C700" t="str">
            <v>07</v>
          </cell>
          <cell r="D700" t="str">
            <v>02</v>
          </cell>
          <cell r="E700" t="str">
            <v>421 99 00</v>
          </cell>
          <cell r="F700" t="str">
            <v>001</v>
          </cell>
        </row>
        <row r="701">
          <cell r="A701" t="str">
            <v>Увеличение стоимости основных средств</v>
          </cell>
          <cell r="B701" t="str">
            <v>903</v>
          </cell>
          <cell r="C701" t="str">
            <v>07</v>
          </cell>
          <cell r="D701" t="str">
            <v>02</v>
          </cell>
          <cell r="E701" t="str">
            <v>421 99 00</v>
          </cell>
          <cell r="F701" t="str">
            <v>001</v>
          </cell>
        </row>
        <row r="702">
          <cell r="A702" t="str">
            <v> 8.05.00.00</v>
          </cell>
          <cell r="B702" t="str">
            <v>903</v>
          </cell>
          <cell r="C702" t="str">
            <v>07</v>
          </cell>
          <cell r="D702" t="str">
            <v>02</v>
          </cell>
          <cell r="E702" t="str">
            <v>421 99 00</v>
          </cell>
          <cell r="F702" t="str">
            <v>001</v>
          </cell>
        </row>
        <row r="703">
          <cell r="A703" t="str">
            <v> 8.40,02</v>
          </cell>
          <cell r="B703" t="str">
            <v>903</v>
          </cell>
          <cell r="C703" t="str">
            <v>07</v>
          </cell>
          <cell r="D703" t="str">
            <v>02</v>
          </cell>
          <cell r="E703" t="str">
            <v>422 99 00</v>
          </cell>
          <cell r="F703" t="str">
            <v>001</v>
          </cell>
        </row>
        <row r="704">
          <cell r="A704" t="str">
            <v>Увеличение стоимости материальных запасов</v>
          </cell>
          <cell r="B704" t="str">
            <v>903</v>
          </cell>
          <cell r="C704" t="str">
            <v>07</v>
          </cell>
          <cell r="D704" t="str">
            <v>02</v>
          </cell>
          <cell r="E704" t="str">
            <v>421 99 00</v>
          </cell>
          <cell r="F704" t="str">
            <v>001</v>
          </cell>
        </row>
        <row r="705">
          <cell r="A705" t="str">
            <v> 8.05.00.00</v>
          </cell>
          <cell r="B705" t="str">
            <v>903</v>
          </cell>
          <cell r="C705" t="str">
            <v>07</v>
          </cell>
          <cell r="D705" t="str">
            <v>02</v>
          </cell>
          <cell r="E705" t="str">
            <v>421 99 00</v>
          </cell>
          <cell r="F705" t="str">
            <v>001</v>
          </cell>
        </row>
        <row r="706">
          <cell r="A706" t="str">
            <v> 8.05.00.01</v>
          </cell>
          <cell r="B706" t="str">
            <v>903</v>
          </cell>
          <cell r="C706" t="str">
            <v>07</v>
          </cell>
          <cell r="D706" t="str">
            <v>02</v>
          </cell>
          <cell r="E706" t="str">
            <v>422 99 00</v>
          </cell>
          <cell r="F706" t="str">
            <v>001</v>
          </cell>
        </row>
        <row r="707">
          <cell r="A707" t="str">
            <v> 8.05.00.02</v>
          </cell>
          <cell r="B707" t="str">
            <v>903</v>
          </cell>
          <cell r="C707" t="str">
            <v>07</v>
          </cell>
          <cell r="D707" t="str">
            <v>02</v>
          </cell>
          <cell r="E707" t="str">
            <v>423 99 00</v>
          </cell>
          <cell r="F707" t="str">
            <v>001</v>
          </cell>
        </row>
        <row r="708">
          <cell r="A708" t="str">
            <v> 8.05.00.03</v>
          </cell>
          <cell r="B708" t="str">
            <v>903</v>
          </cell>
          <cell r="C708" t="str">
            <v>07</v>
          </cell>
          <cell r="D708" t="str">
            <v>02</v>
          </cell>
          <cell r="E708" t="str">
            <v>424 99 00</v>
          </cell>
          <cell r="F708" t="str">
            <v>001</v>
          </cell>
        </row>
        <row r="709">
          <cell r="A709" t="str">
            <v> 8.05.00.04</v>
          </cell>
          <cell r="B709" t="str">
            <v>903</v>
          </cell>
          <cell r="C709" t="str">
            <v>07</v>
          </cell>
          <cell r="D709" t="str">
            <v>02</v>
          </cell>
          <cell r="E709" t="str">
            <v>425 99 00</v>
          </cell>
          <cell r="F709" t="str">
            <v>001</v>
          </cell>
        </row>
        <row r="710">
          <cell r="A710" t="str">
            <v> 8.05.00.05</v>
          </cell>
          <cell r="B710" t="str">
            <v>903</v>
          </cell>
          <cell r="C710" t="str">
            <v>07</v>
          </cell>
          <cell r="D710" t="str">
            <v>02</v>
          </cell>
          <cell r="E710" t="str">
            <v>426 99 00</v>
          </cell>
          <cell r="F710" t="str">
            <v>001</v>
          </cell>
        </row>
        <row r="711">
          <cell r="A711" t="str">
            <v> 8.40,02</v>
          </cell>
          <cell r="B711" t="str">
            <v>903</v>
          </cell>
          <cell r="C711" t="str">
            <v>07</v>
          </cell>
          <cell r="D711" t="str">
            <v>02</v>
          </cell>
          <cell r="E711" t="str">
            <v>421 99 00</v>
          </cell>
          <cell r="F711" t="str">
            <v>001</v>
          </cell>
        </row>
        <row r="712">
          <cell r="A712" t="str">
            <v>Субсидии некоммерческим организациям</v>
          </cell>
          <cell r="B712" t="str">
            <v>903</v>
          </cell>
          <cell r="C712" t="str">
            <v>07</v>
          </cell>
          <cell r="D712" t="str">
            <v>02</v>
          </cell>
          <cell r="E712" t="str">
            <v>421 99 00</v>
          </cell>
          <cell r="F712" t="str">
            <v>019</v>
          </cell>
        </row>
        <row r="713">
          <cell r="A713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713" t="str">
            <v>903</v>
          </cell>
          <cell r="C713" t="str">
            <v>07</v>
          </cell>
          <cell r="D713" t="str">
            <v>02</v>
          </cell>
          <cell r="E713" t="str">
            <v>590 00 00</v>
          </cell>
          <cell r="F713" t="str">
            <v>000</v>
          </cell>
        </row>
        <row r="714">
          <cell r="A714" t="str">
            <v>Выполнение функций бюджетными учреждениями</v>
          </cell>
          <cell r="B714" t="str">
            <v>903</v>
          </cell>
          <cell r="C714" t="str">
            <v>07</v>
          </cell>
          <cell r="D714" t="str">
            <v>02</v>
          </cell>
          <cell r="E714" t="str">
            <v>590 00 00</v>
          </cell>
          <cell r="F714" t="str">
            <v>001</v>
          </cell>
        </row>
        <row r="715">
          <cell r="A715" t="str">
            <v>Субсидии некоммерческим организациям</v>
          </cell>
          <cell r="B715" t="str">
            <v>903</v>
          </cell>
          <cell r="C715" t="str">
            <v>07</v>
          </cell>
          <cell r="D715" t="str">
            <v>02</v>
          </cell>
          <cell r="E715" t="str">
            <v>590 00 00</v>
          </cell>
          <cell r="F715" t="str">
            <v>019</v>
          </cell>
        </row>
        <row r="716">
          <cell r="A716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716" t="str">
            <v>903</v>
          </cell>
          <cell r="C716" t="str">
            <v>07</v>
          </cell>
          <cell r="D716" t="str">
            <v>02</v>
          </cell>
          <cell r="E716" t="str">
            <v>594 00 00</v>
          </cell>
          <cell r="F716" t="str">
            <v>000</v>
          </cell>
        </row>
        <row r="717">
          <cell r="A717" t="str">
            <v>Субсидии некоммерческим организациям</v>
          </cell>
          <cell r="B717" t="str">
            <v>903</v>
          </cell>
          <cell r="C717" t="str">
            <v>07</v>
          </cell>
          <cell r="D717" t="str">
            <v>02</v>
          </cell>
          <cell r="E717" t="str">
            <v>594 00 00</v>
          </cell>
          <cell r="F717" t="str">
            <v>019</v>
          </cell>
        </row>
        <row r="718">
          <cell r="A718" t="str">
            <v>Субвенции на обеспечение госуд. гарантий прав граждан на поблучение общедоступного и бесплатного дошкольного, начального общего, основного общего, среднего (полного) общего образования, а так же дополнительного образования в общеобразовательных учреждения</v>
          </cell>
          <cell r="B718" t="str">
            <v>903</v>
          </cell>
          <cell r="C718" t="str">
            <v>07</v>
          </cell>
          <cell r="D718" t="str">
            <v>02</v>
          </cell>
          <cell r="E718" t="str">
            <v>002 50 00</v>
          </cell>
          <cell r="F718" t="str">
            <v>000</v>
          </cell>
        </row>
        <row r="719">
          <cell r="A719" t="str">
            <v>Обеспечение деятельности подведомственных учреждений</v>
          </cell>
          <cell r="B719" t="str">
            <v>903</v>
          </cell>
          <cell r="C719" t="str">
            <v>07</v>
          </cell>
          <cell r="D719" t="str">
            <v>02</v>
          </cell>
          <cell r="E719" t="str">
            <v>002 50 00</v>
          </cell>
          <cell r="F719" t="str">
            <v>000</v>
          </cell>
        </row>
        <row r="720">
          <cell r="A720" t="str">
            <v>Выполнение функций бюджетными учреждениями</v>
          </cell>
          <cell r="B720" t="str">
            <v>903</v>
          </cell>
          <cell r="C720" t="str">
            <v>07</v>
          </cell>
          <cell r="D720" t="str">
            <v>02</v>
          </cell>
          <cell r="E720" t="str">
            <v>002 50 00</v>
          </cell>
          <cell r="F720" t="str">
            <v>001</v>
          </cell>
        </row>
        <row r="721">
          <cell r="A721" t="str">
            <v>Расходы</v>
          </cell>
          <cell r="B721" t="str">
            <v>903</v>
          </cell>
          <cell r="C721" t="str">
            <v>07</v>
          </cell>
          <cell r="D721" t="str">
            <v>02</v>
          </cell>
          <cell r="E721" t="str">
            <v>002 50 00</v>
          </cell>
          <cell r="F721" t="str">
            <v>001</v>
          </cell>
        </row>
        <row r="722">
          <cell r="A722" t="str">
            <v>Оплата труда и начисления на оплату труда</v>
          </cell>
          <cell r="B722" t="str">
            <v>903</v>
          </cell>
          <cell r="C722" t="str">
            <v>07</v>
          </cell>
          <cell r="D722" t="str">
            <v>02</v>
          </cell>
          <cell r="E722" t="str">
            <v>002 50 00</v>
          </cell>
          <cell r="F722" t="str">
            <v>001</v>
          </cell>
        </row>
        <row r="723">
          <cell r="A723" t="str">
            <v>Заработная плата</v>
          </cell>
          <cell r="B723" t="str">
            <v>903</v>
          </cell>
          <cell r="C723" t="str">
            <v>07</v>
          </cell>
          <cell r="D723" t="str">
            <v>02</v>
          </cell>
          <cell r="E723" t="str">
            <v>002 50 00</v>
          </cell>
          <cell r="F723" t="str">
            <v>001</v>
          </cell>
        </row>
        <row r="724">
          <cell r="A724" t="str">
            <v>Начисление на оплату труда</v>
          </cell>
          <cell r="B724" t="str">
            <v>903</v>
          </cell>
          <cell r="C724" t="str">
            <v>07</v>
          </cell>
          <cell r="D724" t="str">
            <v>02</v>
          </cell>
          <cell r="E724" t="str">
            <v>002 50 00</v>
          </cell>
          <cell r="F724" t="str">
            <v>001</v>
          </cell>
        </row>
        <row r="725">
          <cell r="A725" t="str">
            <v>Приобретение услуг</v>
          </cell>
          <cell r="B725" t="str">
            <v>903</v>
          </cell>
          <cell r="C725" t="str">
            <v>07</v>
          </cell>
          <cell r="D725" t="str">
            <v>02</v>
          </cell>
          <cell r="E725" t="str">
            <v>002 50 00</v>
          </cell>
          <cell r="F725" t="str">
            <v>001</v>
          </cell>
        </row>
        <row r="726">
          <cell r="A726" t="str">
            <v>Услуги связи </v>
          </cell>
          <cell r="B726" t="str">
            <v>903</v>
          </cell>
          <cell r="C726" t="str">
            <v>07</v>
          </cell>
          <cell r="D726" t="str">
            <v>02</v>
          </cell>
          <cell r="E726" t="str">
            <v>002 50 00</v>
          </cell>
          <cell r="F726" t="str">
            <v>001</v>
          </cell>
        </row>
        <row r="727">
          <cell r="A727" t="str">
            <v>Прочие услуги</v>
          </cell>
          <cell r="B727" t="str">
            <v>903</v>
          </cell>
          <cell r="C727" t="str">
            <v>07</v>
          </cell>
          <cell r="D727" t="str">
            <v>02</v>
          </cell>
          <cell r="E727" t="str">
            <v>002 50 00</v>
          </cell>
          <cell r="F727" t="str">
            <v>001</v>
          </cell>
        </row>
        <row r="728">
          <cell r="A728" t="str">
            <v>Поступление нефинансовых активов</v>
          </cell>
          <cell r="B728" t="str">
            <v>903</v>
          </cell>
          <cell r="C728" t="str">
            <v>07</v>
          </cell>
          <cell r="D728" t="str">
            <v>02</v>
          </cell>
          <cell r="E728" t="str">
            <v>002 50 00</v>
          </cell>
          <cell r="F728" t="str">
            <v>001</v>
          </cell>
        </row>
        <row r="729">
          <cell r="A729" t="str">
            <v>Увеличение стоимости основных средств</v>
          </cell>
          <cell r="B729" t="str">
            <v>903</v>
          </cell>
          <cell r="C729" t="str">
            <v>07</v>
          </cell>
          <cell r="D729" t="str">
            <v>02</v>
          </cell>
          <cell r="E729" t="str">
            <v>002 50 00</v>
          </cell>
          <cell r="F729" t="str">
            <v>001</v>
          </cell>
        </row>
        <row r="730">
          <cell r="A730" t="str">
            <v>Субсидии некоммерческим организациям</v>
          </cell>
          <cell r="B730" t="str">
            <v>903</v>
          </cell>
          <cell r="C730" t="str">
            <v>07</v>
          </cell>
          <cell r="D730" t="str">
            <v>02</v>
          </cell>
          <cell r="E730" t="str">
            <v>002 50 00</v>
          </cell>
          <cell r="F730" t="str">
            <v>019</v>
          </cell>
        </row>
        <row r="731">
          <cell r="A731" t="str">
            <v>Учреждения по внешкольной работе с детьми</v>
          </cell>
          <cell r="C731" t="str">
            <v>07</v>
          </cell>
          <cell r="D731" t="str">
            <v>02</v>
          </cell>
          <cell r="E731" t="str">
            <v>423 00 00</v>
          </cell>
          <cell r="F731" t="str">
            <v>000</v>
          </cell>
        </row>
        <row r="732">
          <cell r="A732" t="str">
            <v>Обеспечение деятельности подведомственных учреждений</v>
          </cell>
          <cell r="B732" t="str">
            <v>903</v>
          </cell>
          <cell r="C732" t="str">
            <v>07</v>
          </cell>
          <cell r="D732" t="str">
            <v>02</v>
          </cell>
          <cell r="E732" t="str">
            <v>423 99 00</v>
          </cell>
          <cell r="F732" t="str">
            <v>000</v>
          </cell>
        </row>
        <row r="733">
          <cell r="A733" t="str">
            <v>Выполнение функций бюджетными учреждениями</v>
          </cell>
          <cell r="B733" t="str">
            <v>903</v>
          </cell>
          <cell r="C733" t="str">
            <v>07</v>
          </cell>
          <cell r="D733" t="str">
            <v>02</v>
          </cell>
          <cell r="E733" t="str">
            <v>423 99 00</v>
          </cell>
          <cell r="F733" t="str">
            <v>001</v>
          </cell>
        </row>
        <row r="734">
          <cell r="A734" t="str">
            <v>Расходы</v>
          </cell>
          <cell r="B734" t="str">
            <v>903</v>
          </cell>
          <cell r="C734" t="str">
            <v>07</v>
          </cell>
          <cell r="D734" t="str">
            <v>02</v>
          </cell>
          <cell r="E734" t="str">
            <v>423 99 00</v>
          </cell>
          <cell r="F734" t="str">
            <v>001</v>
          </cell>
        </row>
        <row r="735">
          <cell r="A735" t="str">
            <v>Оплата труда и начисления на оплату труда</v>
          </cell>
          <cell r="B735" t="str">
            <v>903</v>
          </cell>
          <cell r="C735" t="str">
            <v>07</v>
          </cell>
          <cell r="D735" t="str">
            <v>02</v>
          </cell>
          <cell r="E735" t="str">
            <v>423 99 00</v>
          </cell>
          <cell r="F735" t="str">
            <v>001</v>
          </cell>
        </row>
        <row r="736">
          <cell r="A736" t="str">
            <v>Заработная плата</v>
          </cell>
          <cell r="B736" t="str">
            <v>903</v>
          </cell>
          <cell r="C736" t="str">
            <v>07</v>
          </cell>
          <cell r="D736" t="str">
            <v>02</v>
          </cell>
          <cell r="E736" t="str">
            <v>423 99 00</v>
          </cell>
          <cell r="F736" t="str">
            <v>001</v>
          </cell>
        </row>
        <row r="737">
          <cell r="A737" t="str">
            <v>Прочие выплаты</v>
          </cell>
          <cell r="B737" t="str">
            <v>903</v>
          </cell>
          <cell r="C737" t="str">
            <v>07</v>
          </cell>
          <cell r="D737" t="str">
            <v>02</v>
          </cell>
          <cell r="E737" t="str">
            <v>423 99 00</v>
          </cell>
          <cell r="F737" t="str">
            <v>001</v>
          </cell>
        </row>
        <row r="738">
          <cell r="A738" t="str">
            <v>Начисление на оплату труда</v>
          </cell>
          <cell r="B738" t="str">
            <v>903</v>
          </cell>
          <cell r="C738" t="str">
            <v>07</v>
          </cell>
          <cell r="D738" t="str">
            <v>02</v>
          </cell>
          <cell r="E738" t="str">
            <v>423 99 00</v>
          </cell>
          <cell r="F738" t="str">
            <v>001</v>
          </cell>
        </row>
        <row r="739">
          <cell r="A739" t="str">
            <v>Приобретение услуг</v>
          </cell>
          <cell r="B739" t="str">
            <v>903</v>
          </cell>
          <cell r="C739" t="str">
            <v>07</v>
          </cell>
          <cell r="D739" t="str">
            <v>02</v>
          </cell>
          <cell r="E739" t="str">
            <v>423 99 00</v>
          </cell>
          <cell r="F739" t="str">
            <v>001</v>
          </cell>
        </row>
        <row r="740">
          <cell r="A740" t="str">
            <v>Услуги связи </v>
          </cell>
          <cell r="B740" t="str">
            <v>903</v>
          </cell>
          <cell r="C740" t="str">
            <v>07</v>
          </cell>
          <cell r="D740" t="str">
            <v>02</v>
          </cell>
          <cell r="E740" t="str">
            <v>423 99 00</v>
          </cell>
          <cell r="F740" t="str">
            <v>001</v>
          </cell>
        </row>
        <row r="741">
          <cell r="A741" t="str">
            <v>Транспортные услуги</v>
          </cell>
          <cell r="B741" t="str">
            <v>903</v>
          </cell>
          <cell r="C741" t="str">
            <v>07</v>
          </cell>
          <cell r="D741" t="str">
            <v>02</v>
          </cell>
          <cell r="E741" t="str">
            <v>423 99 00</v>
          </cell>
          <cell r="F741" t="str">
            <v>001</v>
          </cell>
        </row>
        <row r="742">
          <cell r="A742" t="str">
            <v>Коммунальные услуги</v>
          </cell>
          <cell r="B742" t="str">
            <v>903</v>
          </cell>
          <cell r="C742" t="str">
            <v>07</v>
          </cell>
          <cell r="D742" t="str">
            <v>02</v>
          </cell>
          <cell r="E742" t="str">
            <v>423 99 00</v>
          </cell>
          <cell r="F742" t="str">
            <v>001</v>
          </cell>
        </row>
        <row r="743">
          <cell r="A743" t="str">
            <v>Арендная плата за пользование иммуществом </v>
          </cell>
          <cell r="B743" t="str">
            <v>903</v>
          </cell>
          <cell r="C743" t="str">
            <v>07</v>
          </cell>
          <cell r="D743" t="str">
            <v>02</v>
          </cell>
          <cell r="E743" t="str">
            <v>423 99 00</v>
          </cell>
          <cell r="F743" t="str">
            <v>001</v>
          </cell>
        </row>
        <row r="744">
          <cell r="A744" t="str">
            <v>Услуги по содержанию иммущества</v>
          </cell>
          <cell r="B744" t="str">
            <v>903</v>
          </cell>
          <cell r="C744" t="str">
            <v>07</v>
          </cell>
          <cell r="D744" t="str">
            <v>02</v>
          </cell>
          <cell r="E744" t="str">
            <v>423 99 00</v>
          </cell>
          <cell r="F744" t="str">
            <v>001</v>
          </cell>
        </row>
        <row r="745">
          <cell r="A745" t="str">
            <v>Услуги по содержанию иммущества 8,40,00</v>
          </cell>
          <cell r="B745" t="str">
            <v>903</v>
          </cell>
          <cell r="C745" t="str">
            <v>07</v>
          </cell>
          <cell r="D745" t="str">
            <v>02</v>
          </cell>
          <cell r="E745" t="str">
            <v>423 99 00</v>
          </cell>
          <cell r="F745" t="str">
            <v>001</v>
          </cell>
        </row>
        <row r="746">
          <cell r="A746" t="str">
            <v>Прочие услуги</v>
          </cell>
          <cell r="B746" t="str">
            <v>903</v>
          </cell>
          <cell r="C746" t="str">
            <v>07</v>
          </cell>
          <cell r="D746" t="str">
            <v>02</v>
          </cell>
          <cell r="E746" t="str">
            <v>423 99 00</v>
          </cell>
          <cell r="F746" t="str">
            <v>001</v>
          </cell>
        </row>
        <row r="747">
          <cell r="A747" t="str">
            <v>Прочие расходы </v>
          </cell>
          <cell r="B747" t="str">
            <v>903</v>
          </cell>
          <cell r="C747" t="str">
            <v>07</v>
          </cell>
          <cell r="D747" t="str">
            <v>02</v>
          </cell>
          <cell r="E747" t="str">
            <v>423 99 00</v>
          </cell>
          <cell r="F747" t="str">
            <v>001</v>
          </cell>
        </row>
        <row r="748">
          <cell r="A748" t="str">
            <v>Поступление нефинансовых активов</v>
          </cell>
          <cell r="B748" t="str">
            <v>903</v>
          </cell>
          <cell r="C748" t="str">
            <v>07</v>
          </cell>
          <cell r="D748" t="str">
            <v>02</v>
          </cell>
          <cell r="E748" t="str">
            <v>423 99 00</v>
          </cell>
          <cell r="F748" t="str">
            <v>001</v>
          </cell>
        </row>
        <row r="749">
          <cell r="A749" t="str">
            <v>Увеличение стоимости основных средств</v>
          </cell>
          <cell r="B749" t="str">
            <v>903</v>
          </cell>
          <cell r="C749" t="str">
            <v>07</v>
          </cell>
          <cell r="D749" t="str">
            <v>02</v>
          </cell>
          <cell r="E749" t="str">
            <v>423 99 00</v>
          </cell>
          <cell r="F749" t="str">
            <v>001</v>
          </cell>
        </row>
        <row r="750">
          <cell r="A750" t="str">
            <v>Увеличение стоимости материальных запасов</v>
          </cell>
          <cell r="B750" t="str">
            <v>903</v>
          </cell>
          <cell r="C750" t="str">
            <v>07</v>
          </cell>
          <cell r="D750" t="str">
            <v>02</v>
          </cell>
          <cell r="E750" t="str">
            <v>423 99 00</v>
          </cell>
          <cell r="F750" t="str">
            <v>001</v>
          </cell>
        </row>
        <row r="751">
          <cell r="A751" t="str">
            <v>Мероприятия по организации оздоровительной кампании детей </v>
          </cell>
          <cell r="B751" t="str">
            <v>903</v>
          </cell>
          <cell r="C751" t="str">
            <v>07</v>
          </cell>
          <cell r="D751" t="str">
            <v>07</v>
          </cell>
          <cell r="E751" t="str">
            <v>432 01 00</v>
          </cell>
          <cell r="F751" t="str">
            <v>000</v>
          </cell>
        </row>
        <row r="752">
          <cell r="B752" t="str">
            <v>903</v>
          </cell>
          <cell r="C752" t="str">
            <v>07</v>
          </cell>
          <cell r="D752" t="str">
            <v>02</v>
          </cell>
          <cell r="E752" t="str">
            <v>432 20 00</v>
          </cell>
          <cell r="F752" t="str">
            <v>000</v>
          </cell>
        </row>
        <row r="753">
          <cell r="A753" t="str">
            <v>Мероприятия по организации оздоровительной кампании детей за счет средств областного бюджета </v>
          </cell>
          <cell r="B753" t="str">
            <v>903</v>
          </cell>
          <cell r="C753" t="str">
            <v>07</v>
          </cell>
          <cell r="D753" t="str">
            <v>07</v>
          </cell>
          <cell r="E753" t="str">
            <v>432 01 01</v>
          </cell>
          <cell r="F753" t="str">
            <v>001</v>
          </cell>
        </row>
        <row r="754">
          <cell r="A754" t="str">
            <v>Поступление нефинансовых активов</v>
          </cell>
          <cell r="B754" t="str">
            <v>903</v>
          </cell>
          <cell r="C754" t="str">
            <v>07</v>
          </cell>
          <cell r="D754" t="str">
            <v>07</v>
          </cell>
          <cell r="E754" t="str">
            <v>432 01 01</v>
          </cell>
          <cell r="F754" t="str">
            <v>001</v>
          </cell>
        </row>
        <row r="755">
          <cell r="A755" t="str">
            <v>Увеличение стоимости материальных запасов</v>
          </cell>
          <cell r="B755" t="str">
            <v>903</v>
          </cell>
          <cell r="C755" t="str">
            <v>07</v>
          </cell>
          <cell r="D755" t="str">
            <v>07</v>
          </cell>
          <cell r="E755" t="str">
            <v>432 01 01</v>
          </cell>
          <cell r="F755" t="str">
            <v>001</v>
          </cell>
        </row>
        <row r="756">
          <cell r="A756" t="str">
            <v>Мероприятия по организации оздоровительной кампании детей за счет средств местного бюджета </v>
          </cell>
          <cell r="B756" t="str">
            <v>903</v>
          </cell>
          <cell r="C756" t="str">
            <v>07</v>
          </cell>
          <cell r="D756" t="str">
            <v>07</v>
          </cell>
          <cell r="E756" t="str">
            <v>432 01 02</v>
          </cell>
          <cell r="F756" t="str">
            <v>001</v>
          </cell>
        </row>
        <row r="757">
          <cell r="A757" t="str">
            <v>Поступление нефинансовых активов</v>
          </cell>
          <cell r="B757" t="str">
            <v>903</v>
          </cell>
          <cell r="C757" t="str">
            <v>07</v>
          </cell>
          <cell r="D757" t="str">
            <v>07</v>
          </cell>
          <cell r="E757" t="str">
            <v>432 01 02</v>
          </cell>
          <cell r="F757" t="str">
            <v>001</v>
          </cell>
        </row>
        <row r="758">
          <cell r="A758" t="str">
            <v>Увеличение стоимости материальных запасов</v>
          </cell>
          <cell r="B758" t="str">
            <v>903</v>
          </cell>
          <cell r="C758" t="str">
            <v>07</v>
          </cell>
          <cell r="D758" t="str">
            <v>07</v>
          </cell>
          <cell r="E758" t="str">
            <v>432 01 02</v>
          </cell>
          <cell r="F758" t="str">
            <v>001</v>
          </cell>
        </row>
        <row r="759">
          <cell r="A759" t="str">
            <v>Закупка автотранспотрных средств и коммунальной техники </v>
          </cell>
          <cell r="B759" t="str">
            <v>903</v>
          </cell>
          <cell r="C759" t="str">
            <v>07</v>
          </cell>
          <cell r="D759" t="str">
            <v>02</v>
          </cell>
          <cell r="E759" t="str">
            <v>340 07 02</v>
          </cell>
          <cell r="F759" t="str">
            <v>001</v>
          </cell>
        </row>
        <row r="760">
          <cell r="A760" t="str">
            <v>Обеспечение деятельности подведомственных учреждений</v>
          </cell>
          <cell r="B760" t="str">
            <v>903</v>
          </cell>
          <cell r="C760" t="str">
            <v>07</v>
          </cell>
          <cell r="D760" t="str">
            <v>02</v>
          </cell>
          <cell r="E760" t="str">
            <v>340 07 02</v>
          </cell>
          <cell r="F760" t="str">
            <v>001</v>
          </cell>
        </row>
        <row r="761">
          <cell r="A761" t="str">
            <v>Выполнение функций бюджетными учреждениями</v>
          </cell>
          <cell r="B761" t="str">
            <v>903</v>
          </cell>
          <cell r="C761" t="str">
            <v>07</v>
          </cell>
          <cell r="D761" t="str">
            <v>02</v>
          </cell>
          <cell r="E761" t="str">
            <v>340 07 02</v>
          </cell>
          <cell r="F761" t="str">
            <v>001</v>
          </cell>
        </row>
        <row r="762">
          <cell r="A762" t="str">
            <v>Поступление нефинансовых активов</v>
          </cell>
          <cell r="B762" t="str">
            <v>903</v>
          </cell>
          <cell r="C762" t="str">
            <v>07</v>
          </cell>
          <cell r="D762" t="str">
            <v>02</v>
          </cell>
          <cell r="E762" t="str">
            <v>340 07 02</v>
          </cell>
          <cell r="F762" t="str">
            <v>001</v>
          </cell>
        </row>
        <row r="763">
          <cell r="A763" t="str">
            <v>Увеличение стоимости основных средств</v>
          </cell>
          <cell r="B763" t="str">
            <v>903</v>
          </cell>
          <cell r="C763" t="str">
            <v>07</v>
          </cell>
          <cell r="D763" t="str">
            <v>02</v>
          </cell>
          <cell r="E763" t="str">
            <v>340 07 02</v>
          </cell>
          <cell r="F763" t="str">
            <v>001</v>
          </cell>
        </row>
        <row r="766">
          <cell r="A766" t="str">
            <v>Субсидии некоммерческим организациям</v>
          </cell>
          <cell r="B766" t="str">
            <v>903</v>
          </cell>
          <cell r="C766" t="str">
            <v>07</v>
          </cell>
          <cell r="D766" t="str">
            <v>02</v>
          </cell>
          <cell r="E766" t="str">
            <v>423 99 00</v>
          </cell>
          <cell r="F766" t="str">
            <v>019</v>
          </cell>
        </row>
        <row r="767">
          <cell r="A767" t="str">
            <v>Учреждения по внешкольной работе с детьми ( музыкальные школы)</v>
          </cell>
          <cell r="B767" t="str">
            <v>905</v>
          </cell>
          <cell r="C767" t="str">
            <v>07</v>
          </cell>
          <cell r="D767" t="str">
            <v>02</v>
          </cell>
          <cell r="E767" t="str">
            <v>423 00 00</v>
          </cell>
          <cell r="F767" t="str">
            <v>000</v>
          </cell>
        </row>
        <row r="768">
          <cell r="A768" t="str">
            <v>Обеспечение деятельности подведомственных учреждений</v>
          </cell>
          <cell r="B768" t="str">
            <v>905</v>
          </cell>
          <cell r="C768" t="str">
            <v>07</v>
          </cell>
          <cell r="D768" t="str">
            <v>02</v>
          </cell>
          <cell r="E768" t="str">
            <v>423 99 00</v>
          </cell>
          <cell r="F768" t="str">
            <v>000</v>
          </cell>
        </row>
        <row r="769">
          <cell r="A769" t="str">
            <v>Субсидии некоммерческим организациям</v>
          </cell>
          <cell r="B769" t="str">
            <v>905</v>
          </cell>
          <cell r="C769" t="str">
            <v>07</v>
          </cell>
          <cell r="D769" t="str">
            <v>02</v>
          </cell>
          <cell r="E769" t="str">
            <v>423 99 00</v>
          </cell>
          <cell r="F769" t="str">
            <v>019</v>
          </cell>
        </row>
        <row r="770">
          <cell r="A770" t="str">
            <v>Расходы</v>
          </cell>
          <cell r="B770" t="str">
            <v>905</v>
          </cell>
          <cell r="C770" t="str">
            <v>07</v>
          </cell>
          <cell r="D770" t="str">
            <v>02</v>
          </cell>
          <cell r="E770" t="str">
            <v>423 99 00</v>
          </cell>
          <cell r="F770" t="str">
            <v>001</v>
          </cell>
        </row>
        <row r="771">
          <cell r="A771" t="str">
            <v>Оплата труда и начисления на оплату труда</v>
          </cell>
          <cell r="B771" t="str">
            <v>905</v>
          </cell>
          <cell r="C771" t="str">
            <v>07</v>
          </cell>
          <cell r="D771" t="str">
            <v>02</v>
          </cell>
          <cell r="E771" t="str">
            <v>423 99 00</v>
          </cell>
          <cell r="F771" t="str">
            <v>001</v>
          </cell>
        </row>
        <row r="772">
          <cell r="A772" t="str">
            <v>Заработная плата</v>
          </cell>
          <cell r="B772" t="str">
            <v>905</v>
          </cell>
          <cell r="C772" t="str">
            <v>07</v>
          </cell>
          <cell r="D772" t="str">
            <v>02</v>
          </cell>
          <cell r="E772" t="str">
            <v>423 99 00</v>
          </cell>
          <cell r="F772" t="str">
            <v>001</v>
          </cell>
        </row>
        <row r="773">
          <cell r="A773" t="str">
            <v>Прочие выплаты</v>
          </cell>
          <cell r="B773" t="str">
            <v>905</v>
          </cell>
          <cell r="C773" t="str">
            <v>07</v>
          </cell>
          <cell r="D773" t="str">
            <v>02</v>
          </cell>
          <cell r="E773" t="str">
            <v>423 99 00</v>
          </cell>
          <cell r="F773" t="str">
            <v>001</v>
          </cell>
        </row>
        <row r="774">
          <cell r="A774" t="str">
            <v>льготы  пед. работникам 8.01.10.00</v>
          </cell>
          <cell r="B774" t="str">
            <v>905</v>
          </cell>
          <cell r="C774" t="str">
            <v>07</v>
          </cell>
          <cell r="D774" t="str">
            <v>02</v>
          </cell>
          <cell r="E774" t="str">
            <v>424 99 00</v>
          </cell>
          <cell r="F774" t="str">
            <v>001</v>
          </cell>
        </row>
        <row r="775">
          <cell r="A775" t="str">
            <v>Начисление на оплату труда</v>
          </cell>
          <cell r="B775" t="str">
            <v>905</v>
          </cell>
          <cell r="C775" t="str">
            <v>07</v>
          </cell>
          <cell r="D775" t="str">
            <v>02</v>
          </cell>
          <cell r="E775" t="str">
            <v>423 99 00</v>
          </cell>
          <cell r="F775" t="str">
            <v>001</v>
          </cell>
        </row>
        <row r="776">
          <cell r="A776" t="str">
            <v>Приобретение услуг</v>
          </cell>
          <cell r="B776" t="str">
            <v>905</v>
          </cell>
          <cell r="C776" t="str">
            <v>07</v>
          </cell>
          <cell r="D776" t="str">
            <v>02</v>
          </cell>
          <cell r="E776" t="str">
            <v>423 99 00</v>
          </cell>
          <cell r="F776" t="str">
            <v>001</v>
          </cell>
        </row>
        <row r="777">
          <cell r="A777" t="str">
            <v>Услуги связи </v>
          </cell>
          <cell r="B777" t="str">
            <v>905</v>
          </cell>
          <cell r="C777" t="str">
            <v>07</v>
          </cell>
          <cell r="D777" t="str">
            <v>02</v>
          </cell>
          <cell r="E777" t="str">
            <v>423 99 00</v>
          </cell>
          <cell r="F777" t="str">
            <v>001</v>
          </cell>
        </row>
        <row r="778">
          <cell r="A778" t="str">
            <v>Транспортные услуги</v>
          </cell>
          <cell r="B778" t="str">
            <v>905</v>
          </cell>
          <cell r="C778" t="str">
            <v>07</v>
          </cell>
          <cell r="D778" t="str">
            <v>02</v>
          </cell>
          <cell r="E778" t="str">
            <v>423 99 00</v>
          </cell>
          <cell r="F778" t="str">
            <v>001</v>
          </cell>
        </row>
        <row r="779">
          <cell r="A779" t="str">
            <v>Коммунальные услуги</v>
          </cell>
          <cell r="B779" t="str">
            <v>905</v>
          </cell>
          <cell r="C779" t="str">
            <v>07</v>
          </cell>
          <cell r="D779" t="str">
            <v>02</v>
          </cell>
          <cell r="E779" t="str">
            <v>423 99 00</v>
          </cell>
          <cell r="F779" t="str">
            <v>001</v>
          </cell>
        </row>
        <row r="780">
          <cell r="A780" t="str">
            <v>Арендная плата за пользование иммуществом </v>
          </cell>
          <cell r="B780" t="str">
            <v>905</v>
          </cell>
          <cell r="C780" t="str">
            <v>07</v>
          </cell>
          <cell r="D780" t="str">
            <v>02</v>
          </cell>
          <cell r="E780" t="str">
            <v>423 99 00</v>
          </cell>
          <cell r="F780" t="str">
            <v>001</v>
          </cell>
        </row>
        <row r="781">
          <cell r="A781" t="str">
            <v>Услуги по содержанию иммущества</v>
          </cell>
          <cell r="B781" t="str">
            <v>905</v>
          </cell>
          <cell r="C781" t="str">
            <v>07</v>
          </cell>
          <cell r="D781" t="str">
            <v>02</v>
          </cell>
          <cell r="E781" t="str">
            <v>423 99 00</v>
          </cell>
          <cell r="F781" t="str">
            <v>001</v>
          </cell>
        </row>
        <row r="782">
          <cell r="A782" t="str">
            <v>Услуги по содержанию иммущества 8.40.01</v>
          </cell>
          <cell r="B782" t="str">
            <v>905</v>
          </cell>
          <cell r="C782" t="str">
            <v>07</v>
          </cell>
          <cell r="D782" t="str">
            <v>02</v>
          </cell>
          <cell r="E782" t="str">
            <v>423 99 00</v>
          </cell>
          <cell r="F782" t="str">
            <v>001</v>
          </cell>
        </row>
        <row r="783">
          <cell r="A783" t="str">
            <v>Услуги по содержанию иммущества 8.40.02</v>
          </cell>
          <cell r="B783" t="str">
            <v>905</v>
          </cell>
          <cell r="C783" t="str">
            <v>07</v>
          </cell>
          <cell r="D783" t="str">
            <v>02</v>
          </cell>
          <cell r="E783" t="str">
            <v>423 99 00</v>
          </cell>
          <cell r="F783" t="str">
            <v>001</v>
          </cell>
        </row>
        <row r="784">
          <cell r="A784" t="str">
            <v>Прочие услуги</v>
          </cell>
          <cell r="B784" t="str">
            <v>905</v>
          </cell>
          <cell r="C784" t="str">
            <v>07</v>
          </cell>
          <cell r="D784" t="str">
            <v>02</v>
          </cell>
          <cell r="E784" t="str">
            <v>423 99 00</v>
          </cell>
          <cell r="F784" t="str">
            <v>001</v>
          </cell>
        </row>
        <row r="785">
          <cell r="A785" t="str">
            <v>Социальное обеспечение</v>
          </cell>
          <cell r="B785" t="str">
            <v>905</v>
          </cell>
          <cell r="C785" t="str">
            <v>07</v>
          </cell>
          <cell r="D785" t="str">
            <v>02</v>
          </cell>
          <cell r="E785" t="str">
            <v>423 99 00</v>
          </cell>
          <cell r="F785" t="str">
            <v>001</v>
          </cell>
        </row>
        <row r="786">
          <cell r="A786" t="str">
            <v>Пособия по социальной помощи населению</v>
          </cell>
          <cell r="B786" t="str">
            <v>905</v>
          </cell>
          <cell r="C786" t="str">
            <v>07</v>
          </cell>
          <cell r="D786" t="str">
            <v>02</v>
          </cell>
          <cell r="E786" t="str">
            <v>423 99 00</v>
          </cell>
          <cell r="F786" t="str">
            <v>001</v>
          </cell>
        </row>
        <row r="787">
          <cell r="A787" t="str">
            <v>Прочие расходы </v>
          </cell>
          <cell r="B787" t="str">
            <v>905</v>
          </cell>
          <cell r="C787" t="str">
            <v>07</v>
          </cell>
          <cell r="D787" t="str">
            <v>02</v>
          </cell>
          <cell r="E787" t="str">
            <v>423 99 00</v>
          </cell>
          <cell r="F787" t="str">
            <v>001</v>
          </cell>
        </row>
        <row r="788">
          <cell r="A788" t="str">
            <v>Поступление нефинансовых активов</v>
          </cell>
          <cell r="B788" t="str">
            <v>905</v>
          </cell>
          <cell r="C788" t="str">
            <v>07</v>
          </cell>
          <cell r="D788" t="str">
            <v>02</v>
          </cell>
          <cell r="E788" t="str">
            <v>423 99 00</v>
          </cell>
          <cell r="F788" t="str">
            <v>001</v>
          </cell>
        </row>
        <row r="789">
          <cell r="A789" t="str">
            <v>Увеличение стоимости основных средств</v>
          </cell>
          <cell r="B789" t="str">
            <v>905</v>
          </cell>
          <cell r="C789" t="str">
            <v>07</v>
          </cell>
          <cell r="D789" t="str">
            <v>02</v>
          </cell>
          <cell r="E789" t="str">
            <v>423 99 00</v>
          </cell>
          <cell r="F789" t="str">
            <v>001</v>
          </cell>
        </row>
        <row r="790">
          <cell r="A790" t="str">
            <v>Увеличение стоимости материальных запасов</v>
          </cell>
          <cell r="B790" t="str">
            <v>905</v>
          </cell>
          <cell r="C790" t="str">
            <v>07</v>
          </cell>
          <cell r="D790" t="str">
            <v>02</v>
          </cell>
          <cell r="E790" t="str">
            <v>423 99 00</v>
          </cell>
          <cell r="F790" t="str">
            <v>001</v>
          </cell>
        </row>
        <row r="791">
          <cell r="A791" t="str">
            <v>Увеличение стоимости материальных запасов 8,40,02</v>
          </cell>
          <cell r="B791" t="str">
            <v>901</v>
          </cell>
          <cell r="C791" t="str">
            <v>07</v>
          </cell>
          <cell r="D791" t="str">
            <v>02</v>
          </cell>
          <cell r="E791" t="str">
            <v>424 00 00</v>
          </cell>
          <cell r="F791" t="str">
            <v>000</v>
          </cell>
        </row>
        <row r="792">
          <cell r="A792" t="str">
            <v>Увеличение стоимости материальных запасов 8,40,03</v>
          </cell>
          <cell r="B792" t="str">
            <v>901</v>
          </cell>
          <cell r="C792" t="str">
            <v>07</v>
          </cell>
          <cell r="D792" t="str">
            <v>02</v>
          </cell>
          <cell r="E792" t="str">
            <v>424 00 00</v>
          </cell>
          <cell r="F792" t="str">
            <v>327</v>
          </cell>
        </row>
        <row r="793">
          <cell r="A793" t="str">
            <v>Увеличение стоимости материальных запасов 8,40,04</v>
          </cell>
          <cell r="B793" t="str">
            <v>901</v>
          </cell>
          <cell r="C793" t="str">
            <v>07</v>
          </cell>
          <cell r="D793" t="str">
            <v>02</v>
          </cell>
          <cell r="E793" t="str">
            <v>424 00 00</v>
          </cell>
          <cell r="F793" t="str">
            <v>327</v>
          </cell>
        </row>
        <row r="794">
          <cell r="A794" t="str">
            <v>Увеличение стоимости материальных запасов 8,40,05</v>
          </cell>
          <cell r="B794" t="str">
            <v>901</v>
          </cell>
          <cell r="C794" t="str">
            <v>07</v>
          </cell>
          <cell r="D794" t="str">
            <v>02</v>
          </cell>
          <cell r="E794" t="str">
            <v>424 00 00</v>
          </cell>
          <cell r="F794" t="str">
            <v>327</v>
          </cell>
        </row>
        <row r="795">
          <cell r="A795" t="str">
            <v>Увеличение стоимости материальных запасов 8,40,06</v>
          </cell>
          <cell r="B795" t="str">
            <v>901</v>
          </cell>
          <cell r="C795" t="str">
            <v>07</v>
          </cell>
          <cell r="D795" t="str">
            <v>02</v>
          </cell>
          <cell r="E795" t="str">
            <v>424 00 00</v>
          </cell>
          <cell r="F795" t="str">
            <v>327</v>
          </cell>
        </row>
        <row r="796">
          <cell r="A796" t="str">
            <v>Увеличение стоимости материальных запасов 8,40,07</v>
          </cell>
          <cell r="B796" t="str">
            <v>901</v>
          </cell>
          <cell r="C796" t="str">
            <v>07</v>
          </cell>
          <cell r="D796" t="str">
            <v>02</v>
          </cell>
          <cell r="E796" t="str">
            <v>424 00 00</v>
          </cell>
          <cell r="F796" t="str">
            <v>327</v>
          </cell>
        </row>
        <row r="797">
          <cell r="A797" t="str">
            <v>Увеличение стоимости материальных запасов 8,40,08</v>
          </cell>
          <cell r="B797" t="str">
            <v>901</v>
          </cell>
          <cell r="C797" t="str">
            <v>07</v>
          </cell>
          <cell r="D797" t="str">
            <v>02</v>
          </cell>
          <cell r="E797" t="str">
            <v>424 00 00</v>
          </cell>
          <cell r="F797" t="str">
            <v>327</v>
          </cell>
        </row>
        <row r="798">
          <cell r="A798" t="str">
            <v>Увеличение стоимости материальных запасов 8,40,09</v>
          </cell>
          <cell r="B798" t="str">
            <v>901</v>
          </cell>
          <cell r="C798" t="str">
            <v>07</v>
          </cell>
          <cell r="D798" t="str">
            <v>02</v>
          </cell>
          <cell r="E798" t="str">
            <v>424 00 00</v>
          </cell>
          <cell r="F798" t="str">
            <v>327</v>
          </cell>
        </row>
        <row r="799">
          <cell r="A799" t="str">
            <v>Увеличение стоимости материальных запасов 8,40,10</v>
          </cell>
          <cell r="B799" t="str">
            <v>901</v>
          </cell>
          <cell r="C799" t="str">
            <v>07</v>
          </cell>
          <cell r="D799" t="str">
            <v>02</v>
          </cell>
          <cell r="E799" t="str">
            <v>424 00 00</v>
          </cell>
          <cell r="F799" t="str">
            <v>327</v>
          </cell>
        </row>
        <row r="800">
          <cell r="A800" t="str">
            <v>Увеличение стоимости материальных запасов 8,40,11</v>
          </cell>
          <cell r="B800" t="str">
            <v>901</v>
          </cell>
          <cell r="C800" t="str">
            <v>07</v>
          </cell>
          <cell r="D800" t="str">
            <v>02</v>
          </cell>
          <cell r="E800" t="str">
            <v>424 00 00</v>
          </cell>
          <cell r="F800" t="str">
            <v>327</v>
          </cell>
        </row>
        <row r="801">
          <cell r="A801" t="str">
            <v>Увеличение стоимости материальных запасов 8,40,12</v>
          </cell>
          <cell r="B801" t="str">
            <v>901</v>
          </cell>
          <cell r="C801" t="str">
            <v>07</v>
          </cell>
          <cell r="D801" t="str">
            <v>02</v>
          </cell>
          <cell r="E801" t="str">
            <v>424 00 00</v>
          </cell>
          <cell r="F801" t="str">
            <v>327</v>
          </cell>
        </row>
        <row r="802">
          <cell r="A802" t="str">
            <v>Увеличение стоимости материальных запасов 8,40,13</v>
          </cell>
          <cell r="B802" t="str">
            <v>901</v>
          </cell>
          <cell r="C802" t="str">
            <v>07</v>
          </cell>
          <cell r="D802" t="str">
            <v>02</v>
          </cell>
          <cell r="E802" t="str">
            <v>424 00 00</v>
          </cell>
          <cell r="F802" t="str">
            <v>327</v>
          </cell>
        </row>
        <row r="803">
          <cell r="A803" t="str">
            <v>Увеличение стоимости материальных запасов 8,40,14</v>
          </cell>
          <cell r="B803" t="str">
            <v>901</v>
          </cell>
          <cell r="C803" t="str">
            <v>07</v>
          </cell>
          <cell r="D803" t="str">
            <v>02</v>
          </cell>
          <cell r="E803" t="str">
            <v>424 00 00</v>
          </cell>
          <cell r="F803" t="str">
            <v>327</v>
          </cell>
        </row>
        <row r="804">
          <cell r="A804" t="str">
            <v>Увеличение стоимости материальных запасов 8,40,15</v>
          </cell>
          <cell r="B804" t="str">
            <v>901</v>
          </cell>
          <cell r="C804" t="str">
            <v>07</v>
          </cell>
          <cell r="D804" t="str">
            <v>02</v>
          </cell>
          <cell r="E804" t="str">
            <v>424 00 00</v>
          </cell>
          <cell r="F804" t="str">
            <v>327</v>
          </cell>
        </row>
        <row r="805">
          <cell r="A805" t="str">
            <v>Увеличение стоимости материальных запасов 8,40,16</v>
          </cell>
          <cell r="B805" t="str">
            <v>901</v>
          </cell>
          <cell r="C805" t="str">
            <v>07</v>
          </cell>
          <cell r="D805" t="str">
            <v>02</v>
          </cell>
          <cell r="E805" t="str">
            <v>424 00 00</v>
          </cell>
          <cell r="F805" t="str">
            <v>327</v>
          </cell>
        </row>
        <row r="806">
          <cell r="A806" t="str">
            <v>Увеличение стоимости материальных запасов 8,40,17</v>
          </cell>
          <cell r="B806" t="str">
            <v>901</v>
          </cell>
          <cell r="C806" t="str">
            <v>07</v>
          </cell>
          <cell r="D806" t="str">
            <v>02</v>
          </cell>
          <cell r="E806" t="str">
            <v>424 00 00</v>
          </cell>
          <cell r="F806" t="str">
            <v>327</v>
          </cell>
        </row>
        <row r="807">
          <cell r="A807" t="str">
            <v>Увеличение стоимости материальных запасов 8,40,18</v>
          </cell>
          <cell r="B807" t="str">
            <v>901</v>
          </cell>
          <cell r="C807" t="str">
            <v>07</v>
          </cell>
          <cell r="D807" t="str">
            <v>02</v>
          </cell>
          <cell r="E807" t="str">
            <v>424 00 00</v>
          </cell>
          <cell r="F807" t="str">
            <v>327</v>
          </cell>
        </row>
        <row r="808">
          <cell r="A808" t="str">
            <v>Увеличение стоимости материальных запасов 8,40,02</v>
          </cell>
          <cell r="B808" t="str">
            <v>905</v>
          </cell>
          <cell r="C808" t="str">
            <v>07</v>
          </cell>
          <cell r="D808" t="str">
            <v>02</v>
          </cell>
          <cell r="E808" t="str">
            <v>423 99 00</v>
          </cell>
          <cell r="F808" t="str">
            <v>001</v>
          </cell>
        </row>
        <row r="809">
          <cell r="A809" t="str">
            <v>Целевые программы муниципальных образований </v>
          </cell>
          <cell r="B809" t="str">
            <v>905</v>
          </cell>
          <cell r="C809" t="str">
            <v>07</v>
          </cell>
          <cell r="D809" t="str">
            <v>02</v>
          </cell>
          <cell r="E809" t="str">
            <v>795 00 00</v>
          </cell>
          <cell r="F809" t="str">
            <v>000</v>
          </cell>
        </row>
        <row r="810">
          <cell r="A810" t="str">
            <v>Выполнение функций органами местного самоуправления</v>
          </cell>
          <cell r="B810" t="str">
            <v>905</v>
          </cell>
          <cell r="C810" t="str">
            <v>07</v>
          </cell>
          <cell r="D810" t="str">
            <v>02</v>
          </cell>
          <cell r="E810" t="str">
            <v>795 00 00</v>
          </cell>
          <cell r="F810" t="str">
            <v>500</v>
          </cell>
        </row>
        <row r="811">
          <cell r="A811" t="str">
            <v>Расходы</v>
          </cell>
          <cell r="B811" t="str">
            <v>905</v>
          </cell>
          <cell r="C811" t="str">
            <v>07</v>
          </cell>
          <cell r="D811" t="str">
            <v>02</v>
          </cell>
          <cell r="E811" t="str">
            <v>795 00 00</v>
          </cell>
          <cell r="F811" t="str">
            <v>500</v>
          </cell>
        </row>
        <row r="812">
          <cell r="A812" t="str">
            <v>Приобретение услуг</v>
          </cell>
          <cell r="B812" t="str">
            <v>905</v>
          </cell>
          <cell r="C812" t="str">
            <v>07</v>
          </cell>
          <cell r="D812" t="str">
            <v>02</v>
          </cell>
          <cell r="E812" t="str">
            <v>795 00 00</v>
          </cell>
          <cell r="F812" t="str">
            <v>500</v>
          </cell>
        </row>
        <row r="813">
          <cell r="A813" t="str">
            <v>Услуги по содержанию иммущества</v>
          </cell>
          <cell r="B813" t="str">
            <v>905</v>
          </cell>
          <cell r="C813" t="str">
            <v>07</v>
          </cell>
          <cell r="D813" t="str">
            <v>02</v>
          </cell>
          <cell r="E813" t="str">
            <v>795 00 00</v>
          </cell>
          <cell r="F813" t="str">
            <v>500</v>
          </cell>
        </row>
        <row r="814">
          <cell r="A814" t="str">
            <v>Прочие услуги</v>
          </cell>
          <cell r="B814" t="str">
            <v>905</v>
          </cell>
          <cell r="C814" t="str">
            <v>07</v>
          </cell>
          <cell r="D814" t="str">
            <v>02</v>
          </cell>
          <cell r="E814" t="str">
            <v>795 18 00</v>
          </cell>
          <cell r="F814" t="str">
            <v>500</v>
          </cell>
        </row>
        <row r="815">
          <cell r="A815" t="str">
            <v>Поступление нефинансовых активов</v>
          </cell>
          <cell r="B815" t="str">
            <v>905</v>
          </cell>
          <cell r="C815" t="str">
            <v>07</v>
          </cell>
          <cell r="D815" t="str">
            <v>02</v>
          </cell>
          <cell r="E815" t="str">
            <v>795 00 00</v>
          </cell>
          <cell r="F815" t="str">
            <v>500</v>
          </cell>
        </row>
        <row r="816">
          <cell r="A816" t="str">
            <v>Увеличение стоимости материальных запасов</v>
          </cell>
          <cell r="B816" t="str">
            <v>905</v>
          </cell>
          <cell r="C816" t="str">
            <v>07</v>
          </cell>
          <cell r="D816" t="str">
            <v>02</v>
          </cell>
          <cell r="E816" t="str">
            <v>795 00 00</v>
          </cell>
          <cell r="F816" t="str">
            <v>500</v>
          </cell>
        </row>
        <row r="820">
          <cell r="A820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C820" t="str">
            <v>07</v>
          </cell>
          <cell r="D820" t="str">
            <v>02</v>
          </cell>
          <cell r="E820" t="str">
            <v>589 00 00</v>
          </cell>
          <cell r="F820" t="str">
            <v>000</v>
          </cell>
        </row>
        <row r="821">
          <cell r="A821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B821" t="str">
            <v>903</v>
          </cell>
          <cell r="C821" t="str">
            <v>07</v>
          </cell>
          <cell r="D821" t="str">
            <v>02</v>
          </cell>
          <cell r="E821" t="str">
            <v>589 00 00</v>
          </cell>
          <cell r="F821" t="str">
            <v>000</v>
          </cell>
        </row>
        <row r="822">
          <cell r="A822" t="str">
            <v>Выполнение функций бюджетными учреждениями</v>
          </cell>
          <cell r="B822" t="str">
            <v>903</v>
          </cell>
          <cell r="C822" t="str">
            <v>07</v>
          </cell>
          <cell r="D822" t="str">
            <v>02</v>
          </cell>
          <cell r="E822" t="str">
            <v>589 00 00</v>
          </cell>
          <cell r="F822" t="str">
            <v>001</v>
          </cell>
        </row>
        <row r="823">
          <cell r="A823" t="str">
            <v>Субсидии некоммерческим организациям</v>
          </cell>
          <cell r="B823" t="str">
            <v>903</v>
          </cell>
          <cell r="C823" t="str">
            <v>07</v>
          </cell>
          <cell r="D823" t="str">
            <v>02</v>
          </cell>
          <cell r="E823" t="str">
            <v>589 00 00</v>
          </cell>
          <cell r="F823" t="str">
            <v>019</v>
          </cell>
        </row>
        <row r="824">
          <cell r="A824" t="str">
            <v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v>
          </cell>
          <cell r="B824" t="str">
            <v>905</v>
          </cell>
          <cell r="C824" t="str">
            <v>07</v>
          </cell>
          <cell r="D824" t="str">
            <v>02</v>
          </cell>
          <cell r="E824" t="str">
            <v>589 00 00</v>
          </cell>
          <cell r="F824" t="str">
            <v>000</v>
          </cell>
        </row>
        <row r="825">
          <cell r="A825" t="str">
            <v>Выполнение функций бюджетными учреждениями</v>
          </cell>
          <cell r="B825" t="str">
            <v>905</v>
          </cell>
          <cell r="C825" t="str">
            <v>07</v>
          </cell>
          <cell r="D825" t="str">
            <v>02</v>
          </cell>
          <cell r="E825" t="str">
            <v>589 00 00</v>
          </cell>
          <cell r="F825" t="str">
            <v>001</v>
          </cell>
        </row>
        <row r="826">
          <cell r="A826" t="str">
            <v>Субсидии некоммерческим организациям</v>
          </cell>
          <cell r="B826" t="str">
            <v>905</v>
          </cell>
          <cell r="C826" t="str">
            <v>07</v>
          </cell>
          <cell r="D826" t="str">
            <v>02</v>
          </cell>
          <cell r="E826" t="str">
            <v>589 00 00</v>
          </cell>
          <cell r="F826" t="str">
            <v>019</v>
          </cell>
        </row>
        <row r="827">
          <cell r="A827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827" t="str">
            <v>905</v>
          </cell>
          <cell r="C827" t="str">
            <v>07</v>
          </cell>
          <cell r="D827" t="str">
            <v>02</v>
          </cell>
          <cell r="E827" t="str">
            <v>590 00 00</v>
          </cell>
          <cell r="F827" t="str">
            <v>000</v>
          </cell>
        </row>
        <row r="828">
          <cell r="A828" t="str">
            <v>Субсидии некоммерческим организациям</v>
          </cell>
          <cell r="B828" t="str">
            <v>905</v>
          </cell>
          <cell r="C828" t="str">
            <v>07</v>
          </cell>
          <cell r="D828" t="str">
            <v>02</v>
          </cell>
          <cell r="E828" t="str">
            <v>590 00 00</v>
          </cell>
          <cell r="F828" t="str">
            <v>019</v>
          </cell>
        </row>
        <row r="829">
          <cell r="A829" t="str">
            <v>Иные безвозмездные и безвозвратные перечисления</v>
          </cell>
          <cell r="B829" t="str">
            <v>903</v>
          </cell>
          <cell r="C829" t="str">
            <v>07</v>
          </cell>
          <cell r="D829" t="str">
            <v>02</v>
          </cell>
          <cell r="E829" t="str">
            <v>520 00 00</v>
          </cell>
          <cell r="F829" t="str">
            <v>000</v>
          </cell>
        </row>
        <row r="830">
          <cell r="A830" t="str">
            <v>Ежемесячное денежное вознаграждение за классное руководство</v>
          </cell>
          <cell r="B830" t="str">
            <v>903</v>
          </cell>
          <cell r="C830" t="str">
            <v>07</v>
          </cell>
          <cell r="D830" t="str">
            <v>02</v>
          </cell>
          <cell r="E830" t="str">
            <v>520 09 00</v>
          </cell>
          <cell r="F830" t="str">
            <v>000</v>
          </cell>
        </row>
        <row r="831">
          <cell r="A831" t="str">
            <v>Выполнение функций бюджетными учреждениями</v>
          </cell>
          <cell r="B831" t="str">
            <v>903</v>
          </cell>
          <cell r="C831" t="str">
            <v>07</v>
          </cell>
          <cell r="D831" t="str">
            <v>02</v>
          </cell>
          <cell r="E831" t="str">
            <v>520 09 00</v>
          </cell>
          <cell r="F831" t="str">
            <v>001</v>
          </cell>
        </row>
        <row r="832">
          <cell r="A832" t="str">
            <v>Расходы</v>
          </cell>
          <cell r="B832" t="str">
            <v>903</v>
          </cell>
          <cell r="C832" t="str">
            <v>07</v>
          </cell>
          <cell r="D832" t="str">
            <v>02</v>
          </cell>
          <cell r="E832" t="str">
            <v>520 09 00</v>
          </cell>
          <cell r="F832" t="str">
            <v>001</v>
          </cell>
        </row>
        <row r="833">
          <cell r="A833" t="str">
            <v>Оплата труда и начисления на оплату труда</v>
          </cell>
          <cell r="B833" t="str">
            <v>903</v>
          </cell>
          <cell r="C833" t="str">
            <v>07</v>
          </cell>
          <cell r="D833" t="str">
            <v>02</v>
          </cell>
          <cell r="E833" t="str">
            <v>520 09 00</v>
          </cell>
          <cell r="F833" t="str">
            <v>001</v>
          </cell>
        </row>
        <row r="834">
          <cell r="A834" t="str">
            <v>Заработная плата</v>
          </cell>
          <cell r="B834" t="str">
            <v>903</v>
          </cell>
          <cell r="C834" t="str">
            <v>07</v>
          </cell>
          <cell r="D834" t="str">
            <v>02</v>
          </cell>
          <cell r="E834" t="str">
            <v>520 09 00</v>
          </cell>
          <cell r="F834" t="str">
            <v>001</v>
          </cell>
        </row>
        <row r="835">
          <cell r="A835" t="str">
            <v>Иные безвозмездные и безвозвратные перичесления </v>
          </cell>
          <cell r="B835" t="str">
            <v>903</v>
          </cell>
          <cell r="C835" t="str">
            <v>07</v>
          </cell>
          <cell r="D835" t="str">
            <v>02</v>
          </cell>
          <cell r="E835" t="str">
            <v>520 09 00</v>
          </cell>
          <cell r="F835" t="str">
            <v>000</v>
          </cell>
        </row>
        <row r="836">
          <cell r="A836" t="str">
            <v>Внедрение инновационных общеобразовательных программ в государственных и муниципальных организациях</v>
          </cell>
          <cell r="B836" t="str">
            <v>903</v>
          </cell>
          <cell r="C836" t="str">
            <v>07</v>
          </cell>
          <cell r="D836" t="str">
            <v>02</v>
          </cell>
          <cell r="E836" t="str">
            <v>520 09 00</v>
          </cell>
          <cell r="F836" t="str">
            <v>621</v>
          </cell>
        </row>
        <row r="837">
          <cell r="A837" t="str">
            <v>Безвозмездные и безвозвратные перечисления государственным и муниципальным организациям</v>
          </cell>
          <cell r="B837" t="str">
            <v>903</v>
          </cell>
          <cell r="C837" t="str">
            <v>07</v>
          </cell>
          <cell r="D837" t="str">
            <v>02</v>
          </cell>
          <cell r="E837" t="str">
            <v>520 09 00</v>
          </cell>
          <cell r="F837" t="str">
            <v>621</v>
          </cell>
        </row>
        <row r="838">
          <cell r="A838" t="str">
            <v>Субсидии некоммерческим организациям</v>
          </cell>
          <cell r="B838" t="str">
            <v>903</v>
          </cell>
          <cell r="C838" t="str">
            <v>07</v>
          </cell>
          <cell r="D838" t="str">
            <v>02</v>
          </cell>
          <cell r="E838" t="str">
            <v>520 09 00</v>
          </cell>
          <cell r="F838" t="str">
            <v>019</v>
          </cell>
        </row>
        <row r="839">
          <cell r="A839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839" t="str">
            <v>903</v>
          </cell>
          <cell r="C839" t="str">
            <v>07</v>
          </cell>
          <cell r="D839" t="str">
            <v>02</v>
          </cell>
          <cell r="E839" t="str">
            <v>590 00 00</v>
          </cell>
          <cell r="F839" t="str">
            <v>000</v>
          </cell>
        </row>
        <row r="840">
          <cell r="A840" t="str">
            <v>Выполнение функций бюджетными учреждениями</v>
          </cell>
          <cell r="B840" t="str">
            <v>903</v>
          </cell>
          <cell r="C840" t="str">
            <v>07</v>
          </cell>
          <cell r="D840" t="str">
            <v>02</v>
          </cell>
          <cell r="E840" t="str">
            <v>590 00 00</v>
          </cell>
          <cell r="F840" t="str">
            <v>001</v>
          </cell>
        </row>
        <row r="842">
          <cell r="A842" t="str">
            <v>Субсидии некоммерческим организациям</v>
          </cell>
          <cell r="B842" t="str">
            <v>903</v>
          </cell>
          <cell r="C842" t="str">
            <v>07</v>
          </cell>
          <cell r="D842" t="str">
            <v>02</v>
          </cell>
          <cell r="E842" t="str">
            <v>590 00 00</v>
          </cell>
          <cell r="F842" t="str">
            <v>019</v>
          </cell>
        </row>
        <row r="843">
          <cell r="A843" t="str">
            <v>Софинансирование ДЦП Иркутской области "Доступная среда для инвалидов" на 2011-2015 годы (Доп.ЭК 8.70.07.00)</v>
          </cell>
          <cell r="B843" t="str">
            <v>903</v>
          </cell>
          <cell r="C843" t="str">
            <v>07</v>
          </cell>
          <cell r="D843" t="str">
            <v>02</v>
          </cell>
          <cell r="E843" t="str">
            <v>421 99 00</v>
          </cell>
          <cell r="F843" t="str">
            <v>000</v>
          </cell>
        </row>
        <row r="844">
          <cell r="A844" t="str">
            <v>Выполнение функций органами местного самоуправления</v>
          </cell>
          <cell r="B844" t="str">
            <v>903</v>
          </cell>
          <cell r="C844" t="str">
            <v>07</v>
          </cell>
          <cell r="D844" t="str">
            <v>02</v>
          </cell>
          <cell r="E844" t="str">
            <v>421 99 00</v>
          </cell>
          <cell r="F844" t="str">
            <v>019</v>
          </cell>
        </row>
        <row r="845">
          <cell r="A845" t="str">
            <v>Молодежная политика и оздоровление детей</v>
          </cell>
          <cell r="C845" t="str">
            <v>07</v>
          </cell>
          <cell r="D845" t="str">
            <v>07</v>
          </cell>
          <cell r="E845" t="str">
            <v>000 00 00</v>
          </cell>
          <cell r="F845" t="str">
            <v>000</v>
          </cell>
        </row>
        <row r="846">
          <cell r="B846" t="str">
            <v>901</v>
          </cell>
          <cell r="C846" t="str">
            <v>07</v>
          </cell>
          <cell r="D846" t="str">
            <v>07</v>
          </cell>
          <cell r="E846" t="str">
            <v>001 00 00</v>
          </cell>
          <cell r="F846" t="str">
            <v>000</v>
          </cell>
        </row>
        <row r="847">
          <cell r="B847" t="str">
            <v>901</v>
          </cell>
          <cell r="C847" t="str">
            <v>07</v>
          </cell>
          <cell r="D847" t="str">
            <v>07</v>
          </cell>
          <cell r="E847" t="str">
            <v>001 00 00</v>
          </cell>
          <cell r="F847" t="str">
            <v>005</v>
          </cell>
        </row>
        <row r="848">
          <cell r="B848" t="str">
            <v>901</v>
          </cell>
          <cell r="C848" t="str">
            <v>07</v>
          </cell>
          <cell r="D848" t="str">
            <v>07</v>
          </cell>
          <cell r="E848" t="str">
            <v>001 00 00</v>
          </cell>
          <cell r="F848" t="str">
            <v>005</v>
          </cell>
        </row>
        <row r="849">
          <cell r="B849" t="str">
            <v>901</v>
          </cell>
          <cell r="C849" t="str">
            <v>07</v>
          </cell>
          <cell r="D849" t="str">
            <v>07</v>
          </cell>
          <cell r="E849" t="str">
            <v>001 00 00</v>
          </cell>
          <cell r="F849" t="str">
            <v>005</v>
          </cell>
        </row>
        <row r="850">
          <cell r="A850" t="str">
            <v>Прочие выплаты</v>
          </cell>
          <cell r="B850" t="str">
            <v>901</v>
          </cell>
          <cell r="C850" t="str">
            <v>07</v>
          </cell>
          <cell r="D850" t="str">
            <v>07</v>
          </cell>
          <cell r="E850" t="str">
            <v>001 00 00</v>
          </cell>
          <cell r="F850" t="str">
            <v>005</v>
          </cell>
        </row>
        <row r="851">
          <cell r="A851" t="str">
            <v>Начисление на оплату труда</v>
          </cell>
          <cell r="B851" t="str">
            <v>901</v>
          </cell>
          <cell r="C851" t="str">
            <v>07</v>
          </cell>
          <cell r="D851" t="str">
            <v>07</v>
          </cell>
          <cell r="E851" t="str">
            <v>001 00 00</v>
          </cell>
          <cell r="F851" t="str">
            <v>005</v>
          </cell>
        </row>
        <row r="852">
          <cell r="A852" t="str">
            <v>Приобретение услуг</v>
          </cell>
          <cell r="B852" t="str">
            <v>901</v>
          </cell>
          <cell r="C852" t="str">
            <v>07</v>
          </cell>
          <cell r="D852" t="str">
            <v>07</v>
          </cell>
          <cell r="E852" t="str">
            <v>001 00 00</v>
          </cell>
          <cell r="F852" t="str">
            <v>005</v>
          </cell>
        </row>
        <row r="853">
          <cell r="A853" t="str">
            <v>Услуги связи </v>
          </cell>
          <cell r="B853" t="str">
            <v>901</v>
          </cell>
          <cell r="C853" t="str">
            <v>07</v>
          </cell>
          <cell r="D853" t="str">
            <v>07</v>
          </cell>
          <cell r="E853" t="str">
            <v>001 00 00</v>
          </cell>
          <cell r="F853" t="str">
            <v>005</v>
          </cell>
        </row>
        <row r="854">
          <cell r="A854" t="str">
            <v>Транспортные услуги</v>
          </cell>
          <cell r="B854" t="str">
            <v>901</v>
          </cell>
          <cell r="C854" t="str">
            <v>07</v>
          </cell>
          <cell r="D854" t="str">
            <v>07</v>
          </cell>
          <cell r="E854" t="str">
            <v>001 00 00</v>
          </cell>
          <cell r="F854" t="str">
            <v>005</v>
          </cell>
        </row>
        <row r="855">
          <cell r="A855" t="str">
            <v>Коммунальные услуги</v>
          </cell>
          <cell r="B855" t="str">
            <v>901</v>
          </cell>
          <cell r="C855" t="str">
            <v>07</v>
          </cell>
          <cell r="D855" t="str">
            <v>07</v>
          </cell>
          <cell r="E855" t="str">
            <v>001 00 00</v>
          </cell>
          <cell r="F855" t="str">
            <v>005</v>
          </cell>
        </row>
        <row r="856">
          <cell r="A856" t="str">
            <v>Арендная плата за пользование иммуществом </v>
          </cell>
          <cell r="B856" t="str">
            <v>901</v>
          </cell>
          <cell r="C856" t="str">
            <v>07</v>
          </cell>
          <cell r="D856" t="str">
            <v>07</v>
          </cell>
          <cell r="E856" t="str">
            <v>001 00 00</v>
          </cell>
          <cell r="F856" t="str">
            <v>005</v>
          </cell>
        </row>
        <row r="857">
          <cell r="A857" t="str">
            <v>Услуги по содержанию иммущества</v>
          </cell>
          <cell r="B857" t="str">
            <v>901</v>
          </cell>
          <cell r="C857" t="str">
            <v>07</v>
          </cell>
          <cell r="D857" t="str">
            <v>07</v>
          </cell>
          <cell r="E857" t="str">
            <v>001 00 00</v>
          </cell>
          <cell r="F857" t="str">
            <v>005</v>
          </cell>
        </row>
        <row r="858">
          <cell r="A858" t="str">
            <v>Прочие услуги</v>
          </cell>
          <cell r="B858" t="str">
            <v>901</v>
          </cell>
          <cell r="C858" t="str">
            <v>07</v>
          </cell>
          <cell r="D858" t="str">
            <v>07</v>
          </cell>
          <cell r="E858" t="str">
            <v>001 00 00</v>
          </cell>
          <cell r="F858" t="str">
            <v>005</v>
          </cell>
        </row>
        <row r="859">
          <cell r="A859" t="str">
            <v>Прочие расходы </v>
          </cell>
          <cell r="B859" t="str">
            <v>901</v>
          </cell>
          <cell r="C859" t="str">
            <v>07</v>
          </cell>
          <cell r="D859" t="str">
            <v>07</v>
          </cell>
          <cell r="E859" t="str">
            <v>001 00 00</v>
          </cell>
          <cell r="F859" t="str">
            <v>005</v>
          </cell>
        </row>
        <row r="860">
          <cell r="A860" t="str">
            <v>Поступление нефинансовых активов</v>
          </cell>
          <cell r="B860" t="str">
            <v>901</v>
          </cell>
          <cell r="C860" t="str">
            <v>07</v>
          </cell>
          <cell r="D860" t="str">
            <v>07</v>
          </cell>
          <cell r="E860" t="str">
            <v>001 00 00</v>
          </cell>
          <cell r="F860" t="str">
            <v>005</v>
          </cell>
        </row>
        <row r="861">
          <cell r="A861" t="str">
            <v>Увеличение стоимости основных средств</v>
          </cell>
          <cell r="B861" t="str">
            <v>901</v>
          </cell>
          <cell r="C861" t="str">
            <v>07</v>
          </cell>
          <cell r="D861" t="str">
            <v>07</v>
          </cell>
          <cell r="E861" t="str">
            <v>001 00 00</v>
          </cell>
          <cell r="F861" t="str">
            <v>005</v>
          </cell>
        </row>
        <row r="862">
          <cell r="A862" t="str">
            <v>Увеличение стоимости материальных запасов</v>
          </cell>
          <cell r="B862" t="str">
            <v>901</v>
          </cell>
          <cell r="C862" t="str">
            <v>07</v>
          </cell>
          <cell r="D862" t="str">
            <v>07</v>
          </cell>
          <cell r="E862" t="str">
            <v>001 00 00</v>
          </cell>
          <cell r="F862" t="str">
            <v>005</v>
          </cell>
        </row>
        <row r="863">
          <cell r="A863" t="str">
            <v>Организационно-воспитательная работа с молодежью</v>
          </cell>
          <cell r="B863" t="str">
            <v>905</v>
          </cell>
          <cell r="C863" t="str">
            <v>07</v>
          </cell>
          <cell r="D863" t="str">
            <v>07</v>
          </cell>
          <cell r="E863" t="str">
            <v>431 00 00</v>
          </cell>
          <cell r="F863" t="str">
            <v>000 </v>
          </cell>
        </row>
        <row r="864">
          <cell r="A864" t="str">
            <v>Организационно-воспитательная работа с молодежью</v>
          </cell>
          <cell r="B864" t="str">
            <v>905</v>
          </cell>
          <cell r="C864" t="str">
            <v>07</v>
          </cell>
          <cell r="D864" t="str">
            <v>07</v>
          </cell>
          <cell r="E864" t="str">
            <v>431 00 00</v>
          </cell>
          <cell r="F864" t="str">
            <v>000 </v>
          </cell>
        </row>
        <row r="865">
          <cell r="A865" t="str">
            <v>Проведение мероприятий для детей и молодежи</v>
          </cell>
          <cell r="B865" t="str">
            <v>905</v>
          </cell>
          <cell r="C865" t="str">
            <v>07</v>
          </cell>
          <cell r="D865" t="str">
            <v>07</v>
          </cell>
          <cell r="E865" t="str">
            <v>431 01 00</v>
          </cell>
          <cell r="F865" t="str">
            <v>000</v>
          </cell>
        </row>
        <row r="866">
          <cell r="A866" t="str">
            <v>Выполнение функций органами местного самоуправления</v>
          </cell>
          <cell r="B866" t="str">
            <v>905</v>
          </cell>
          <cell r="C866" t="str">
            <v>07</v>
          </cell>
          <cell r="D866" t="str">
            <v>07</v>
          </cell>
          <cell r="E866" t="str">
            <v>431 01 00</v>
          </cell>
          <cell r="F866" t="str">
            <v>500</v>
          </cell>
        </row>
        <row r="867">
          <cell r="A867" t="str">
            <v>Долгосрочная целевая программа Иркутской области «Организация и обеспечение отдыха и оздоровления детей в Иркутской области на 2012-2014 годы»</v>
          </cell>
          <cell r="B867" t="str">
            <v>903</v>
          </cell>
          <cell r="C867" t="str">
            <v>07</v>
          </cell>
          <cell r="D867" t="str">
            <v>07</v>
          </cell>
          <cell r="E867" t="str">
            <v>522 62 00</v>
          </cell>
          <cell r="F867" t="str">
            <v>000</v>
          </cell>
        </row>
        <row r="868">
          <cell r="A868" t="str">
            <v>Выполнение функций бюджетными учреждениями ОБ</v>
          </cell>
          <cell r="B868" t="str">
            <v>903</v>
          </cell>
          <cell r="C868" t="str">
            <v>07</v>
          </cell>
          <cell r="D868" t="str">
            <v>07</v>
          </cell>
          <cell r="E868" t="str">
            <v>522 62 00</v>
          </cell>
          <cell r="F868" t="str">
            <v>001</v>
          </cell>
        </row>
        <row r="869">
          <cell r="A869" t="str">
            <v>Выполнение функций бюджетными учреждениями МБ</v>
          </cell>
          <cell r="B869" t="str">
            <v>903</v>
          </cell>
          <cell r="C869" t="str">
            <v>07</v>
          </cell>
          <cell r="D869" t="str">
            <v>07</v>
          </cell>
          <cell r="E869" t="str">
            <v>522 62 01</v>
          </cell>
          <cell r="F869" t="str">
            <v>001</v>
          </cell>
        </row>
        <row r="870">
          <cell r="A870" t="str">
            <v>Субсидии некоммерческим организациям ОБ</v>
          </cell>
          <cell r="B870" t="str">
            <v>903</v>
          </cell>
          <cell r="C870" t="str">
            <v>07</v>
          </cell>
          <cell r="D870" t="str">
            <v>07</v>
          </cell>
          <cell r="E870" t="str">
            <v>522 62 00</v>
          </cell>
          <cell r="F870" t="str">
            <v>019</v>
          </cell>
        </row>
        <row r="871">
          <cell r="A871" t="str">
            <v>Субсидии некоммерческим организациям МБ</v>
          </cell>
          <cell r="B871" t="str">
            <v>903</v>
          </cell>
          <cell r="C871" t="str">
            <v>07</v>
          </cell>
          <cell r="D871" t="str">
            <v>07</v>
          </cell>
          <cell r="E871" t="str">
            <v>522 62 01</v>
          </cell>
          <cell r="F871" t="str">
            <v>019</v>
          </cell>
        </row>
        <row r="872">
          <cell r="A872" t="str">
            <v>Транспортные услуги</v>
          </cell>
          <cell r="B872" t="str">
            <v>905</v>
          </cell>
          <cell r="C872" t="str">
            <v>07</v>
          </cell>
          <cell r="D872" t="str">
            <v>07</v>
          </cell>
          <cell r="E872" t="str">
            <v>431 01 00</v>
          </cell>
          <cell r="F872" t="str">
            <v>500</v>
          </cell>
        </row>
        <row r="873">
          <cell r="A873" t="str">
            <v>Прочие услуги</v>
          </cell>
          <cell r="B873" t="str">
            <v>905</v>
          </cell>
          <cell r="C873" t="str">
            <v>07</v>
          </cell>
          <cell r="D873" t="str">
            <v>07</v>
          </cell>
          <cell r="E873" t="str">
            <v>431 01 00</v>
          </cell>
          <cell r="F873" t="str">
            <v>500</v>
          </cell>
        </row>
        <row r="874">
          <cell r="A874" t="str">
            <v>Прочие расходы </v>
          </cell>
          <cell r="B874" t="str">
            <v>905</v>
          </cell>
          <cell r="C874" t="str">
            <v>07</v>
          </cell>
          <cell r="D874" t="str">
            <v>07</v>
          </cell>
          <cell r="E874" t="str">
            <v>431 01 00</v>
          </cell>
          <cell r="F874" t="str">
            <v>500</v>
          </cell>
        </row>
        <row r="875">
          <cell r="A875" t="str">
            <v>Поступление нефинансовых активов</v>
          </cell>
          <cell r="B875" t="str">
            <v>905</v>
          </cell>
          <cell r="C875" t="str">
            <v>07</v>
          </cell>
          <cell r="D875" t="str">
            <v>07</v>
          </cell>
          <cell r="E875" t="str">
            <v>431 01 00</v>
          </cell>
          <cell r="F875" t="str">
            <v>500</v>
          </cell>
        </row>
        <row r="876">
          <cell r="A876" t="str">
            <v>Увеличение стоимости основных средств</v>
          </cell>
          <cell r="B876" t="str">
            <v>905</v>
          </cell>
          <cell r="C876" t="str">
            <v>07</v>
          </cell>
          <cell r="D876" t="str">
            <v>07</v>
          </cell>
          <cell r="E876" t="str">
            <v>431 01 00</v>
          </cell>
          <cell r="F876" t="str">
            <v>500</v>
          </cell>
        </row>
        <row r="877">
          <cell r="A877" t="str">
            <v>Увеличение стоимости материальных запасов </v>
          </cell>
          <cell r="B877" t="str">
            <v>905</v>
          </cell>
          <cell r="C877" t="str">
            <v>07</v>
          </cell>
          <cell r="D877" t="str">
            <v>07</v>
          </cell>
          <cell r="E877" t="str">
            <v>431 01 00</v>
          </cell>
          <cell r="F877" t="str">
            <v>500</v>
          </cell>
        </row>
        <row r="878">
          <cell r="A878" t="str">
            <v>Мероприятия по проведению оздоровительной кампании детей </v>
          </cell>
          <cell r="B878" t="str">
            <v>903</v>
          </cell>
          <cell r="C878" t="str">
            <v>07</v>
          </cell>
          <cell r="D878" t="str">
            <v>07</v>
          </cell>
          <cell r="E878" t="str">
            <v>432 00 00</v>
          </cell>
          <cell r="F878" t="str">
            <v>000</v>
          </cell>
        </row>
        <row r="879">
          <cell r="A879" t="str">
            <v>Оздоровление детей </v>
          </cell>
          <cell r="B879" t="str">
            <v>903</v>
          </cell>
          <cell r="C879" t="str">
            <v>07</v>
          </cell>
          <cell r="D879" t="str">
            <v>07</v>
          </cell>
          <cell r="E879" t="str">
            <v>432 00 00</v>
          </cell>
          <cell r="F879" t="str">
            <v>000</v>
          </cell>
        </row>
        <row r="880">
          <cell r="A880" t="str">
            <v>Выполнение функций бюджетными учреждениями</v>
          </cell>
          <cell r="B880" t="str">
            <v>903</v>
          </cell>
          <cell r="C880" t="str">
            <v>07</v>
          </cell>
          <cell r="D880" t="str">
            <v>07</v>
          </cell>
          <cell r="E880" t="str">
            <v>432 03 00</v>
          </cell>
          <cell r="F880" t="str">
            <v>001</v>
          </cell>
        </row>
        <row r="881">
          <cell r="A881" t="str">
            <v>Поступление нефинансовых активов</v>
          </cell>
          <cell r="B881" t="str">
            <v>903</v>
          </cell>
          <cell r="C881" t="str">
            <v>07</v>
          </cell>
          <cell r="D881" t="str">
            <v>07</v>
          </cell>
          <cell r="E881" t="str">
            <v>432 03 00</v>
          </cell>
          <cell r="F881" t="str">
            <v>001</v>
          </cell>
        </row>
        <row r="882">
          <cell r="A882" t="str">
            <v>Увеличение стоимости материальных запасов  ОБ</v>
          </cell>
          <cell r="B882" t="str">
            <v>903</v>
          </cell>
          <cell r="C882" t="str">
            <v>07</v>
          </cell>
          <cell r="D882" t="str">
            <v>07</v>
          </cell>
          <cell r="E882" t="str">
            <v>432 03 01</v>
          </cell>
          <cell r="F882" t="str">
            <v>001</v>
          </cell>
        </row>
        <row r="883">
          <cell r="A883" t="str">
            <v>Увеличение стоимости материальных запасов МБ</v>
          </cell>
          <cell r="B883" t="str">
            <v>903</v>
          </cell>
          <cell r="C883" t="str">
            <v>07</v>
          </cell>
          <cell r="D883" t="str">
            <v>07</v>
          </cell>
          <cell r="E883" t="str">
            <v>432 03 02</v>
          </cell>
          <cell r="F883" t="str">
            <v>500</v>
          </cell>
        </row>
        <row r="884">
          <cell r="A884" t="str">
            <v>Целевые программы муниципальных образований </v>
          </cell>
          <cell r="C884" t="str">
            <v>07</v>
          </cell>
          <cell r="D884" t="str">
            <v>07</v>
          </cell>
          <cell r="E884" t="str">
            <v>795 00 00</v>
          </cell>
          <cell r="F884" t="str">
            <v>000</v>
          </cell>
        </row>
        <row r="885">
          <cell r="A885" t="str">
            <v>Круглогодичный отдых ,оздоровление и занятость детей и подростков  в 2012 г</v>
          </cell>
          <cell r="C885" t="str">
            <v>07</v>
          </cell>
          <cell r="D885" t="str">
            <v>07</v>
          </cell>
          <cell r="E885" t="str">
            <v>795 04 00</v>
          </cell>
          <cell r="F885" t="str">
            <v>000</v>
          </cell>
        </row>
        <row r="886">
          <cell r="A886" t="str">
            <v>Выполнение функций органами местного самоуправления</v>
          </cell>
          <cell r="B886" t="str">
            <v>903</v>
          </cell>
          <cell r="C886" t="str">
            <v>07</v>
          </cell>
          <cell r="D886" t="str">
            <v>07</v>
          </cell>
          <cell r="E886" t="str">
            <v>795 04 00</v>
          </cell>
          <cell r="F886" t="str">
            <v>500</v>
          </cell>
        </row>
        <row r="887">
          <cell r="A887" t="str">
            <v>Выполнение функций органами местного самоуправления</v>
          </cell>
          <cell r="B887" t="str">
            <v>905</v>
          </cell>
          <cell r="C887" t="str">
            <v>07</v>
          </cell>
          <cell r="D887" t="str">
            <v>07</v>
          </cell>
          <cell r="E887" t="str">
            <v>795 04 00</v>
          </cell>
          <cell r="F887" t="str">
            <v>500</v>
          </cell>
        </row>
        <row r="888">
          <cell r="A888" t="str">
            <v>Выполнение функций органами местного самоуправления</v>
          </cell>
          <cell r="B888" t="str">
            <v>904</v>
          </cell>
          <cell r="C888" t="str">
            <v>07</v>
          </cell>
          <cell r="D888" t="str">
            <v>07</v>
          </cell>
          <cell r="E888" t="str">
            <v>795 04 00</v>
          </cell>
          <cell r="F888" t="str">
            <v>500</v>
          </cell>
        </row>
        <row r="889">
          <cell r="A889" t="str">
            <v>Выполнение функций органами местного самоуправления</v>
          </cell>
          <cell r="B889" t="str">
            <v>902</v>
          </cell>
          <cell r="C889" t="str">
            <v>07</v>
          </cell>
          <cell r="D889" t="str">
            <v>07</v>
          </cell>
          <cell r="E889" t="str">
            <v>795 04 00</v>
          </cell>
          <cell r="F889" t="str">
            <v>500</v>
          </cell>
        </row>
        <row r="890">
          <cell r="A890" t="str">
            <v>"Будущее за молодыми на  2011-2013 г"</v>
          </cell>
          <cell r="B890" t="str">
            <v>905</v>
          </cell>
          <cell r="C890" t="str">
            <v>07</v>
          </cell>
          <cell r="D890" t="str">
            <v>07</v>
          </cell>
          <cell r="E890" t="str">
            <v>795 19 00</v>
          </cell>
          <cell r="F890" t="str">
            <v>000</v>
          </cell>
        </row>
        <row r="891">
          <cell r="A891" t="str">
            <v>Транспортные услуги</v>
          </cell>
          <cell r="B891" t="str">
            <v>903</v>
          </cell>
          <cell r="C891" t="str">
            <v>07</v>
          </cell>
          <cell r="D891" t="str">
            <v>07</v>
          </cell>
          <cell r="E891" t="str">
            <v>795 00 00</v>
          </cell>
          <cell r="F891" t="str">
            <v>500</v>
          </cell>
        </row>
        <row r="892">
          <cell r="A892" t="str">
            <v>Транспортные услуги</v>
          </cell>
          <cell r="B892" t="str">
            <v>903</v>
          </cell>
          <cell r="C892" t="str">
            <v>07</v>
          </cell>
          <cell r="D892" t="str">
            <v>07</v>
          </cell>
          <cell r="E892" t="str">
            <v>795 00 00</v>
          </cell>
          <cell r="F892" t="str">
            <v>500</v>
          </cell>
        </row>
        <row r="893">
          <cell r="B893" t="str">
            <v>905</v>
          </cell>
          <cell r="C893" t="str">
            <v>07</v>
          </cell>
          <cell r="D893" t="str">
            <v>07</v>
          </cell>
          <cell r="E893" t="str">
            <v>795 19 00</v>
          </cell>
          <cell r="F893" t="str">
            <v>500</v>
          </cell>
        </row>
        <row r="894">
          <cell r="B894" t="str">
            <v>905</v>
          </cell>
          <cell r="C894" t="str">
            <v>07</v>
          </cell>
          <cell r="D894" t="str">
            <v>07</v>
          </cell>
          <cell r="E894" t="str">
            <v>795 04 00</v>
          </cell>
          <cell r="F894" t="str">
            <v>500</v>
          </cell>
        </row>
        <row r="895">
          <cell r="A895" t="str">
            <v>Услуги по содержанию иммущества</v>
          </cell>
          <cell r="B895" t="str">
            <v>903</v>
          </cell>
          <cell r="C895" t="str">
            <v>07</v>
          </cell>
          <cell r="D895" t="str">
            <v>07</v>
          </cell>
          <cell r="E895" t="str">
            <v>795 04 00</v>
          </cell>
          <cell r="F895" t="str">
            <v>500</v>
          </cell>
        </row>
        <row r="896">
          <cell r="A896" t="str">
            <v>Прочие услуги</v>
          </cell>
          <cell r="B896" t="str">
            <v>903</v>
          </cell>
          <cell r="C896" t="str">
            <v>07</v>
          </cell>
          <cell r="D896" t="str">
            <v>07</v>
          </cell>
          <cell r="E896" t="str">
            <v>795 00 00</v>
          </cell>
          <cell r="F896" t="str">
            <v>500</v>
          </cell>
        </row>
        <row r="897">
          <cell r="A897" t="str">
            <v>Транспортные услуги</v>
          </cell>
          <cell r="B897" t="str">
            <v>905</v>
          </cell>
          <cell r="C897" t="str">
            <v>07</v>
          </cell>
          <cell r="D897" t="str">
            <v>07</v>
          </cell>
          <cell r="E897" t="str">
            <v>795 00 00</v>
          </cell>
          <cell r="F897" t="str">
            <v>500</v>
          </cell>
        </row>
        <row r="898">
          <cell r="A898" t="str">
            <v>Услуги по содержанию иммущества</v>
          </cell>
          <cell r="B898" t="str">
            <v>903</v>
          </cell>
          <cell r="C898" t="str">
            <v>07</v>
          </cell>
          <cell r="D898" t="str">
            <v>07</v>
          </cell>
          <cell r="E898" t="str">
            <v>795 00 00</v>
          </cell>
          <cell r="F898" t="str">
            <v>500</v>
          </cell>
        </row>
        <row r="899">
          <cell r="A899" t="str">
            <v>Прочие услуги</v>
          </cell>
          <cell r="B899" t="str">
            <v>905</v>
          </cell>
          <cell r="C899" t="str">
            <v>07</v>
          </cell>
          <cell r="D899" t="str">
            <v>07</v>
          </cell>
          <cell r="E899" t="str">
            <v>795 04 00</v>
          </cell>
          <cell r="F899" t="str">
            <v>500</v>
          </cell>
        </row>
        <row r="900">
          <cell r="A900" t="str">
            <v>Прочие услуги</v>
          </cell>
          <cell r="B900" t="str">
            <v>906</v>
          </cell>
          <cell r="C900" t="str">
            <v>07</v>
          </cell>
          <cell r="D900" t="str">
            <v>07</v>
          </cell>
          <cell r="E900" t="str">
            <v>795 00 00</v>
          </cell>
          <cell r="F900" t="str">
            <v>500</v>
          </cell>
        </row>
        <row r="901">
          <cell r="A901" t="str">
            <v>Прочие услуги</v>
          </cell>
          <cell r="B901" t="str">
            <v>907</v>
          </cell>
          <cell r="C901" t="str">
            <v>07</v>
          </cell>
          <cell r="D901" t="str">
            <v>07</v>
          </cell>
          <cell r="E901" t="str">
            <v>795 00 00</v>
          </cell>
          <cell r="F901" t="str">
            <v>500</v>
          </cell>
        </row>
        <row r="902">
          <cell r="A902" t="str">
            <v>Прочие расходы </v>
          </cell>
          <cell r="B902" t="str">
            <v>908</v>
          </cell>
          <cell r="C902" t="str">
            <v>07</v>
          </cell>
          <cell r="D902" t="str">
            <v>07</v>
          </cell>
          <cell r="E902" t="str">
            <v>795 00 00</v>
          </cell>
          <cell r="F902" t="str">
            <v>500</v>
          </cell>
        </row>
        <row r="903">
          <cell r="A903" t="str">
            <v>Прочие услуги</v>
          </cell>
          <cell r="B903" t="str">
            <v>903</v>
          </cell>
          <cell r="C903" t="str">
            <v>07</v>
          </cell>
          <cell r="D903" t="str">
            <v>07</v>
          </cell>
          <cell r="E903" t="str">
            <v>795 04 00</v>
          </cell>
          <cell r="F903" t="str">
            <v>500</v>
          </cell>
        </row>
        <row r="904">
          <cell r="A904" t="str">
            <v>Прочие услуги "Круглогодичный отдых"</v>
          </cell>
          <cell r="B904" t="str">
            <v>902</v>
          </cell>
          <cell r="C904" t="str">
            <v>07</v>
          </cell>
          <cell r="D904" t="str">
            <v>07</v>
          </cell>
          <cell r="E904" t="str">
            <v>795 04 00</v>
          </cell>
          <cell r="F904" t="str">
            <v>500</v>
          </cell>
        </row>
        <row r="905">
          <cell r="A905" t="str">
            <v>Прочие услуги "Круглогодичный отдых"</v>
          </cell>
          <cell r="B905" t="str">
            <v>904</v>
          </cell>
          <cell r="C905" t="str">
            <v>07</v>
          </cell>
          <cell r="D905" t="str">
            <v>07</v>
          </cell>
          <cell r="E905" t="str">
            <v>795 04 00</v>
          </cell>
          <cell r="F905" t="str">
            <v>500</v>
          </cell>
        </row>
        <row r="906">
          <cell r="A906" t="str">
            <v>Прочие расходы </v>
          </cell>
          <cell r="B906" t="str">
            <v>905</v>
          </cell>
          <cell r="C906" t="str">
            <v>07</v>
          </cell>
          <cell r="D906" t="str">
            <v>07</v>
          </cell>
          <cell r="E906" t="str">
            <v>795 00 00</v>
          </cell>
          <cell r="F906" t="str">
            <v>500</v>
          </cell>
        </row>
        <row r="907">
          <cell r="B907" t="str">
            <v>905</v>
          </cell>
          <cell r="C907" t="str">
            <v>07</v>
          </cell>
          <cell r="D907" t="str">
            <v>07</v>
          </cell>
          <cell r="E907" t="str">
            <v>795 19 00</v>
          </cell>
          <cell r="F907" t="str">
            <v>500</v>
          </cell>
        </row>
        <row r="908">
          <cell r="B908" t="str">
            <v>905</v>
          </cell>
          <cell r="C908" t="str">
            <v>07</v>
          </cell>
          <cell r="D908" t="str">
            <v>07</v>
          </cell>
          <cell r="E908" t="str">
            <v>795 04 00</v>
          </cell>
          <cell r="F908" t="str">
            <v>500</v>
          </cell>
        </row>
        <row r="909">
          <cell r="B909" t="str">
            <v>903</v>
          </cell>
          <cell r="C909" t="str">
            <v>07</v>
          </cell>
          <cell r="D909" t="str">
            <v>07</v>
          </cell>
          <cell r="E909" t="str">
            <v>795 04 00</v>
          </cell>
          <cell r="F909" t="str">
            <v>500</v>
          </cell>
        </row>
        <row r="910">
          <cell r="A910" t="str">
            <v>Поступление нефинансовых активов</v>
          </cell>
          <cell r="C910" t="str">
            <v>07</v>
          </cell>
          <cell r="D910" t="str">
            <v>07</v>
          </cell>
          <cell r="E910" t="str">
            <v>795 00 00</v>
          </cell>
          <cell r="F910" t="str">
            <v>500</v>
          </cell>
        </row>
        <row r="911">
          <cell r="A911" t="str">
            <v>Увеличение стоимости основных средств</v>
          </cell>
          <cell r="B911" t="str">
            <v>910</v>
          </cell>
          <cell r="C911" t="str">
            <v>07</v>
          </cell>
          <cell r="D911" t="str">
            <v>07</v>
          </cell>
          <cell r="E911" t="str">
            <v>795 00 00</v>
          </cell>
          <cell r="F911" t="str">
            <v>500</v>
          </cell>
        </row>
        <row r="912">
          <cell r="A912" t="str">
            <v>Увеличение стоимости материальных запасов</v>
          </cell>
          <cell r="B912" t="str">
            <v>911</v>
          </cell>
          <cell r="C912" t="str">
            <v>07</v>
          </cell>
          <cell r="D912" t="str">
            <v>07</v>
          </cell>
          <cell r="E912" t="str">
            <v>795 00 00</v>
          </cell>
          <cell r="F912" t="str">
            <v>500</v>
          </cell>
        </row>
        <row r="913">
          <cell r="A913" t="str">
            <v>Увеличение стоимости материальных запасов</v>
          </cell>
          <cell r="B913" t="str">
            <v>912</v>
          </cell>
          <cell r="C913" t="str">
            <v>07</v>
          </cell>
          <cell r="D913" t="str">
            <v>07</v>
          </cell>
          <cell r="E913" t="str">
            <v>795 00 00</v>
          </cell>
          <cell r="F913" t="str">
            <v>500</v>
          </cell>
        </row>
        <row r="914">
          <cell r="A914" t="str">
            <v>Увеличение стоймости основных средств</v>
          </cell>
          <cell r="B914" t="str">
            <v>905</v>
          </cell>
          <cell r="C914" t="str">
            <v>07</v>
          </cell>
          <cell r="D914" t="str">
            <v>07</v>
          </cell>
          <cell r="E914" t="str">
            <v>795 00 00</v>
          </cell>
          <cell r="F914" t="str">
            <v>500</v>
          </cell>
        </row>
        <row r="915">
          <cell r="B915" t="str">
            <v>905</v>
          </cell>
          <cell r="C915" t="str">
            <v>07</v>
          </cell>
          <cell r="D915" t="str">
            <v>07</v>
          </cell>
          <cell r="E915" t="str">
            <v>795 19 00</v>
          </cell>
          <cell r="F915" t="str">
            <v>500</v>
          </cell>
        </row>
        <row r="916">
          <cell r="A916" t="str">
            <v>Увеличение стоимости основных средств</v>
          </cell>
          <cell r="B916" t="str">
            <v>903</v>
          </cell>
          <cell r="C916" t="str">
            <v>07</v>
          </cell>
          <cell r="D916" t="str">
            <v>07</v>
          </cell>
          <cell r="E916" t="str">
            <v>795 04 00</v>
          </cell>
          <cell r="F916" t="str">
            <v>500</v>
          </cell>
        </row>
        <row r="917">
          <cell r="A917" t="str">
            <v>Увеличение стоимости материальных запасов</v>
          </cell>
          <cell r="B917" t="str">
            <v>903</v>
          </cell>
          <cell r="C917" t="str">
            <v>07</v>
          </cell>
          <cell r="D917" t="str">
            <v>07</v>
          </cell>
          <cell r="E917" t="str">
            <v>795 00 00</v>
          </cell>
          <cell r="F917" t="str">
            <v>500</v>
          </cell>
        </row>
        <row r="918">
          <cell r="B918" t="str">
            <v>905</v>
          </cell>
          <cell r="C918" t="str">
            <v>07</v>
          </cell>
          <cell r="D918" t="str">
            <v>07</v>
          </cell>
          <cell r="E918" t="str">
            <v>795 19 00</v>
          </cell>
          <cell r="F918" t="str">
            <v>500</v>
          </cell>
        </row>
        <row r="919">
          <cell r="B919" t="str">
            <v>905</v>
          </cell>
          <cell r="C919" t="str">
            <v>07</v>
          </cell>
          <cell r="D919" t="str">
            <v>07</v>
          </cell>
          <cell r="E919" t="str">
            <v>795 04 00</v>
          </cell>
          <cell r="F919" t="str">
            <v>500</v>
          </cell>
        </row>
        <row r="920">
          <cell r="A920" t="str">
            <v>Увеличение стоимости материальных запасов</v>
          </cell>
          <cell r="B920" t="str">
            <v>903</v>
          </cell>
          <cell r="C920" t="str">
            <v>07</v>
          </cell>
          <cell r="D920" t="str">
            <v>07</v>
          </cell>
          <cell r="E920" t="str">
            <v>795 04 00</v>
          </cell>
          <cell r="F920" t="str">
            <v>500</v>
          </cell>
        </row>
        <row r="921">
          <cell r="A921" t="str">
            <v>Увеличение стоимости материальных запасов</v>
          </cell>
          <cell r="B921" t="str">
            <v>905</v>
          </cell>
          <cell r="C921" t="str">
            <v>07</v>
          </cell>
          <cell r="D921" t="str">
            <v>07</v>
          </cell>
          <cell r="E921" t="str">
            <v>795 00 00</v>
          </cell>
          <cell r="F921" t="str">
            <v>500</v>
          </cell>
        </row>
        <row r="922">
          <cell r="B922" t="str">
            <v>905</v>
          </cell>
          <cell r="C922" t="str">
            <v>07</v>
          </cell>
          <cell r="D922" t="str">
            <v>07</v>
          </cell>
          <cell r="E922" t="str">
            <v>795 19 00</v>
          </cell>
          <cell r="F922" t="str">
            <v>500</v>
          </cell>
        </row>
        <row r="923">
          <cell r="A923" t="str">
            <v>Выполнение функций органами местного самоуправления</v>
          </cell>
          <cell r="B923" t="str">
            <v>905</v>
          </cell>
          <cell r="C923" t="str">
            <v>07</v>
          </cell>
          <cell r="D923" t="str">
            <v>07</v>
          </cell>
          <cell r="E923" t="str">
            <v>795 19 00</v>
          </cell>
          <cell r="F923" t="str">
            <v>500</v>
          </cell>
        </row>
        <row r="924">
          <cell r="A924" t="str">
            <v>Другие вопросы в области образования</v>
          </cell>
          <cell r="B924" t="str">
            <v>903</v>
          </cell>
          <cell r="C924" t="str">
            <v>07</v>
          </cell>
          <cell r="D924" t="str">
            <v>09</v>
          </cell>
          <cell r="E924" t="str">
            <v>000 00 00</v>
          </cell>
          <cell r="F924" t="str">
            <v>000</v>
          </cell>
        </row>
        <row r="925">
          <cell r="A925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925" t="str">
            <v>903</v>
          </cell>
          <cell r="C925" t="str">
            <v>07</v>
          </cell>
          <cell r="D925" t="str">
            <v>09</v>
          </cell>
          <cell r="E925" t="str">
            <v>002 00 00</v>
          </cell>
          <cell r="F925" t="str">
            <v>000</v>
          </cell>
        </row>
        <row r="926">
          <cell r="A926" t="str">
            <v>Центральный аппарат</v>
          </cell>
          <cell r="B926" t="str">
            <v>903</v>
          </cell>
          <cell r="C926" t="str">
            <v>07</v>
          </cell>
          <cell r="D926" t="str">
            <v>09</v>
          </cell>
          <cell r="E926" t="str">
            <v>002 04 00</v>
          </cell>
          <cell r="F926" t="str">
            <v>000</v>
          </cell>
        </row>
        <row r="927">
          <cell r="A927" t="str">
            <v>Выполнение функций органами местного самоуправления</v>
          </cell>
          <cell r="B927" t="str">
            <v>903</v>
          </cell>
          <cell r="C927" t="str">
            <v>07</v>
          </cell>
          <cell r="D927" t="str">
            <v>09</v>
          </cell>
          <cell r="E927" t="str">
            <v>002 04 00</v>
          </cell>
          <cell r="F927" t="str">
            <v>500</v>
          </cell>
        </row>
        <row r="928">
          <cell r="A928" t="str">
            <v>Расходы</v>
          </cell>
          <cell r="B928" t="str">
            <v>903</v>
          </cell>
          <cell r="C928" t="str">
            <v>07</v>
          </cell>
          <cell r="D928" t="str">
            <v>09</v>
          </cell>
          <cell r="E928" t="str">
            <v>002 04 00</v>
          </cell>
          <cell r="F928" t="str">
            <v>500</v>
          </cell>
        </row>
        <row r="929">
          <cell r="A929" t="str">
            <v>Оплата труда и начисления на оплату труда</v>
          </cell>
          <cell r="B929" t="str">
            <v>903</v>
          </cell>
          <cell r="C929" t="str">
            <v>07</v>
          </cell>
          <cell r="D929" t="str">
            <v>09</v>
          </cell>
          <cell r="E929" t="str">
            <v>002 04 00</v>
          </cell>
          <cell r="F929" t="str">
            <v>500</v>
          </cell>
        </row>
        <row r="930">
          <cell r="A930" t="str">
            <v>Заработная плата</v>
          </cell>
          <cell r="B930" t="str">
            <v>903</v>
          </cell>
          <cell r="C930" t="str">
            <v>07</v>
          </cell>
          <cell r="D930" t="str">
            <v>09</v>
          </cell>
          <cell r="E930" t="str">
            <v>002 04 00</v>
          </cell>
          <cell r="F930" t="str">
            <v>500</v>
          </cell>
        </row>
        <row r="931">
          <cell r="A931" t="str">
            <v>Прочие выплаты</v>
          </cell>
          <cell r="B931" t="str">
            <v>903</v>
          </cell>
          <cell r="C931" t="str">
            <v>07</v>
          </cell>
          <cell r="D931" t="str">
            <v>09</v>
          </cell>
          <cell r="E931" t="str">
            <v>002 04 00</v>
          </cell>
          <cell r="F931" t="str">
            <v>500</v>
          </cell>
        </row>
        <row r="932">
          <cell r="A932" t="str">
            <v>Начисление на оплату труда</v>
          </cell>
          <cell r="B932" t="str">
            <v>903</v>
          </cell>
          <cell r="C932" t="str">
            <v>07</v>
          </cell>
          <cell r="D932" t="str">
            <v>09</v>
          </cell>
          <cell r="E932" t="str">
            <v>002 04 00</v>
          </cell>
          <cell r="F932" t="str">
            <v>500</v>
          </cell>
        </row>
        <row r="933">
          <cell r="A933" t="str">
            <v>Приобретение услуг</v>
          </cell>
          <cell r="B933" t="str">
            <v>903</v>
          </cell>
          <cell r="C933" t="str">
            <v>07</v>
          </cell>
          <cell r="D933" t="str">
            <v>09</v>
          </cell>
          <cell r="E933" t="str">
            <v>002 04 00</v>
          </cell>
          <cell r="F933" t="str">
            <v>500</v>
          </cell>
        </row>
        <row r="934">
          <cell r="A934" t="str">
            <v>Услуги связи </v>
          </cell>
          <cell r="B934" t="str">
            <v>903</v>
          </cell>
          <cell r="C934" t="str">
            <v>07</v>
          </cell>
          <cell r="D934" t="str">
            <v>09</v>
          </cell>
          <cell r="E934" t="str">
            <v>002 04 00</v>
          </cell>
          <cell r="F934" t="str">
            <v>500</v>
          </cell>
        </row>
        <row r="935">
          <cell r="A935" t="str">
            <v>Транспортные услуги</v>
          </cell>
          <cell r="B935" t="str">
            <v>903</v>
          </cell>
          <cell r="C935" t="str">
            <v>07</v>
          </cell>
          <cell r="D935" t="str">
            <v>09</v>
          </cell>
          <cell r="E935" t="str">
            <v>002 04 00</v>
          </cell>
          <cell r="F935" t="str">
            <v>500</v>
          </cell>
        </row>
        <row r="936">
          <cell r="A936" t="str">
            <v>Коммунальные услуги</v>
          </cell>
          <cell r="B936" t="str">
            <v>903</v>
          </cell>
          <cell r="C936" t="str">
            <v>07</v>
          </cell>
          <cell r="D936" t="str">
            <v>09</v>
          </cell>
          <cell r="E936" t="str">
            <v>002 04 00</v>
          </cell>
          <cell r="F936" t="str">
            <v>500</v>
          </cell>
        </row>
        <row r="937">
          <cell r="A937" t="str">
            <v>Арендная плата за пользование иммуществом </v>
          </cell>
          <cell r="B937" t="str">
            <v>903</v>
          </cell>
          <cell r="C937" t="str">
            <v>07</v>
          </cell>
          <cell r="D937" t="str">
            <v>09</v>
          </cell>
          <cell r="E937" t="str">
            <v>002 04 00</v>
          </cell>
          <cell r="F937" t="str">
            <v>500</v>
          </cell>
        </row>
        <row r="938">
          <cell r="A938" t="str">
            <v>Услуги по содержанию иммущества</v>
          </cell>
          <cell r="B938" t="str">
            <v>903</v>
          </cell>
          <cell r="C938" t="str">
            <v>07</v>
          </cell>
          <cell r="D938" t="str">
            <v>09</v>
          </cell>
          <cell r="E938" t="str">
            <v>002 04 00</v>
          </cell>
          <cell r="F938" t="str">
            <v>500</v>
          </cell>
        </row>
        <row r="939">
          <cell r="A939" t="str">
            <v>Прочие услуги</v>
          </cell>
          <cell r="B939" t="str">
            <v>903</v>
          </cell>
          <cell r="C939" t="str">
            <v>07</v>
          </cell>
          <cell r="D939" t="str">
            <v>09</v>
          </cell>
          <cell r="E939" t="str">
            <v>002 04 00</v>
          </cell>
          <cell r="F939" t="str">
            <v>500</v>
          </cell>
        </row>
        <row r="940">
          <cell r="A940" t="str">
            <v>Прочие расходы </v>
          </cell>
          <cell r="B940" t="str">
            <v>903</v>
          </cell>
          <cell r="C940" t="str">
            <v>07</v>
          </cell>
          <cell r="D940" t="str">
            <v>09</v>
          </cell>
          <cell r="E940" t="str">
            <v>002 04 00</v>
          </cell>
          <cell r="F940" t="str">
            <v>500</v>
          </cell>
        </row>
        <row r="941">
          <cell r="A941" t="str">
            <v>Поступление нефинансовых активов</v>
          </cell>
          <cell r="B941" t="str">
            <v>903</v>
          </cell>
          <cell r="C941" t="str">
            <v>07</v>
          </cell>
          <cell r="D941" t="str">
            <v>09</v>
          </cell>
          <cell r="E941" t="str">
            <v>002 04 00</v>
          </cell>
          <cell r="F941" t="str">
            <v>500</v>
          </cell>
        </row>
        <row r="942">
          <cell r="A942" t="str">
            <v>Увеличение стоимости основных средств</v>
          </cell>
          <cell r="B942" t="str">
            <v>903</v>
          </cell>
          <cell r="C942" t="str">
            <v>07</v>
          </cell>
          <cell r="D942" t="str">
            <v>09</v>
          </cell>
          <cell r="E942" t="str">
            <v>002 04 00</v>
          </cell>
          <cell r="F942" t="str">
            <v>500</v>
          </cell>
        </row>
        <row r="943">
          <cell r="A943" t="str">
            <v>Увеличение стоимости материальных запасов</v>
          </cell>
          <cell r="B943" t="str">
            <v>903</v>
          </cell>
          <cell r="C943" t="str">
            <v>07</v>
          </cell>
          <cell r="D943" t="str">
            <v>09</v>
          </cell>
          <cell r="E943" t="str">
            <v>002 04 00</v>
          </cell>
          <cell r="F943" t="str">
            <v>500</v>
          </cell>
        </row>
        <row r="944">
          <cell r="A944" t="str">
            <v>Оплата труда и начисления на оплату труда</v>
          </cell>
          <cell r="B944" t="str">
            <v>901</v>
          </cell>
          <cell r="C944" t="str">
            <v>07</v>
          </cell>
          <cell r="D944" t="str">
            <v>09</v>
          </cell>
          <cell r="E944" t="str">
            <v>001 00 00</v>
          </cell>
          <cell r="F944" t="str">
            <v>005</v>
          </cell>
        </row>
        <row r="945">
          <cell r="A945" t="str">
            <v>Заработная плата</v>
          </cell>
          <cell r="B945" t="str">
            <v>901</v>
          </cell>
          <cell r="C945" t="str">
            <v>07</v>
          </cell>
          <cell r="D945" t="str">
            <v>09</v>
          </cell>
          <cell r="E945" t="str">
            <v>001 00 00</v>
          </cell>
          <cell r="F945" t="str">
            <v>005</v>
          </cell>
        </row>
        <row r="946">
          <cell r="A946" t="str">
            <v>Прочие выплаты</v>
          </cell>
          <cell r="B946" t="str">
            <v>901</v>
          </cell>
          <cell r="C946" t="str">
            <v>07</v>
          </cell>
          <cell r="D946" t="str">
            <v>09</v>
          </cell>
          <cell r="E946" t="str">
            <v>001 00 00</v>
          </cell>
          <cell r="F946" t="str">
            <v>005</v>
          </cell>
        </row>
        <row r="947">
          <cell r="A947" t="str">
            <v>Начисление на оплату труда</v>
          </cell>
          <cell r="B947" t="str">
            <v>901</v>
          </cell>
          <cell r="C947" t="str">
            <v>07</v>
          </cell>
          <cell r="D947" t="str">
            <v>09</v>
          </cell>
          <cell r="E947" t="str">
            <v>001 00 00</v>
          </cell>
          <cell r="F947" t="str">
            <v>005</v>
          </cell>
        </row>
        <row r="948">
          <cell r="A948" t="str">
            <v>Приобретение услуг</v>
          </cell>
          <cell r="B948" t="str">
            <v>901</v>
          </cell>
          <cell r="C948" t="str">
            <v>07</v>
          </cell>
          <cell r="D948" t="str">
            <v>09</v>
          </cell>
          <cell r="E948" t="str">
            <v>001 00 00</v>
          </cell>
          <cell r="F948" t="str">
            <v>005</v>
          </cell>
        </row>
        <row r="949">
          <cell r="A949" t="str">
            <v>Услуги связи </v>
          </cell>
          <cell r="B949" t="str">
            <v>901</v>
          </cell>
          <cell r="C949" t="str">
            <v>07</v>
          </cell>
          <cell r="D949" t="str">
            <v>09</v>
          </cell>
          <cell r="E949" t="str">
            <v>001 00 00</v>
          </cell>
          <cell r="F949" t="str">
            <v>005</v>
          </cell>
        </row>
        <row r="950">
          <cell r="A950" t="str">
            <v>Транспортные услуги</v>
          </cell>
          <cell r="B950" t="str">
            <v>901</v>
          </cell>
          <cell r="C950" t="str">
            <v>07</v>
          </cell>
          <cell r="D950" t="str">
            <v>09</v>
          </cell>
          <cell r="E950" t="str">
            <v>001 00 00</v>
          </cell>
          <cell r="F950" t="str">
            <v>005</v>
          </cell>
        </row>
        <row r="951">
          <cell r="A951" t="str">
            <v>Коммунальные услуги</v>
          </cell>
          <cell r="B951" t="str">
            <v>901</v>
          </cell>
          <cell r="C951" t="str">
            <v>07</v>
          </cell>
          <cell r="D951" t="str">
            <v>09</v>
          </cell>
          <cell r="E951" t="str">
            <v>001 00 00</v>
          </cell>
          <cell r="F951" t="str">
            <v>005</v>
          </cell>
        </row>
        <row r="952">
          <cell r="A952" t="str">
            <v>Арендная плата за пользование иммуществом </v>
          </cell>
          <cell r="B952" t="str">
            <v>901</v>
          </cell>
          <cell r="C952" t="str">
            <v>07</v>
          </cell>
          <cell r="D952" t="str">
            <v>09</v>
          </cell>
          <cell r="E952" t="str">
            <v>001 00 00</v>
          </cell>
          <cell r="F952" t="str">
            <v>005</v>
          </cell>
        </row>
        <row r="953">
          <cell r="A953" t="str">
            <v>Услуги по содержанию иммущества</v>
          </cell>
          <cell r="B953" t="str">
            <v>901</v>
          </cell>
          <cell r="C953" t="str">
            <v>07</v>
          </cell>
          <cell r="D953" t="str">
            <v>09</v>
          </cell>
          <cell r="E953" t="str">
            <v>001 00 00</v>
          </cell>
          <cell r="F953" t="str">
            <v>005</v>
          </cell>
        </row>
        <row r="954">
          <cell r="A954" t="str">
            <v>Прочие услуги</v>
          </cell>
          <cell r="B954" t="str">
            <v>901</v>
          </cell>
          <cell r="C954" t="str">
            <v>07</v>
          </cell>
          <cell r="D954" t="str">
            <v>09</v>
          </cell>
          <cell r="E954" t="str">
            <v>001 00 00</v>
          </cell>
          <cell r="F954" t="str">
            <v>005</v>
          </cell>
        </row>
        <row r="955">
          <cell r="A955" t="str">
            <v>Прочие расходы </v>
          </cell>
          <cell r="B955" t="str">
            <v>901</v>
          </cell>
          <cell r="C955" t="str">
            <v>07</v>
          </cell>
          <cell r="D955" t="str">
            <v>09</v>
          </cell>
          <cell r="E955" t="str">
            <v>001 00 00</v>
          </cell>
          <cell r="F955" t="str">
            <v>005</v>
          </cell>
        </row>
        <row r="956">
          <cell r="A956" t="str">
            <v>Поступление нефинансовых активов</v>
          </cell>
          <cell r="B956" t="str">
            <v>901</v>
          </cell>
          <cell r="C956" t="str">
            <v>07</v>
          </cell>
          <cell r="D956" t="str">
            <v>09</v>
          </cell>
          <cell r="E956" t="str">
            <v>001 00 00</v>
          </cell>
          <cell r="F956" t="str">
            <v>005</v>
          </cell>
        </row>
        <row r="957">
          <cell r="A957" t="str">
            <v>Увеличение стоимости основных средств</v>
          </cell>
          <cell r="B957" t="str">
            <v>901</v>
          </cell>
          <cell r="C957" t="str">
            <v>07</v>
          </cell>
          <cell r="D957" t="str">
            <v>09</v>
          </cell>
          <cell r="E957" t="str">
            <v>001 00 00</v>
          </cell>
          <cell r="F957" t="str">
            <v>005</v>
          </cell>
        </row>
        <row r="958">
          <cell r="A958" t="str">
            <v>Увеличение стоимости материальных запасов</v>
          </cell>
          <cell r="B958" t="str">
            <v>901</v>
          </cell>
          <cell r="C958" t="str">
            <v>07</v>
          </cell>
          <cell r="D958" t="str">
            <v>09</v>
          </cell>
          <cell r="E958" t="str">
            <v>001 00 00</v>
          </cell>
          <cell r="F958" t="str">
            <v>005</v>
          </cell>
        </row>
        <row r="959">
          <cell r="A959" t="str">
            <v>Межбюджетные трансферты на погашение кредиторской задолженности муниципальных учреждений по страховым взносам в Пенсионный фонд Российской Федерации на обязательное пенсионное страхование, сложившейся за период с 1 января 2001 года до 1 января 2010 года</v>
          </cell>
          <cell r="B959" t="str">
            <v>903</v>
          </cell>
          <cell r="C959" t="str">
            <v>07</v>
          </cell>
          <cell r="D959" t="str">
            <v>09</v>
          </cell>
          <cell r="E959" t="str">
            <v>603 00 00</v>
          </cell>
          <cell r="F959" t="str">
            <v>001</v>
          </cell>
        </row>
        <row r="960">
          <cell r="B960" t="str">
            <v>903</v>
          </cell>
          <cell r="C960" t="str">
            <v>07</v>
          </cell>
          <cell r="D960" t="str">
            <v>09</v>
          </cell>
          <cell r="E960" t="str">
            <v>603 00 00</v>
          </cell>
          <cell r="F960" t="str">
            <v>001</v>
          </cell>
        </row>
        <row r="961">
          <cell r="B961" t="str">
            <v>903</v>
          </cell>
          <cell r="C961" t="str">
            <v>07</v>
          </cell>
          <cell r="D961" t="str">
            <v>09</v>
          </cell>
          <cell r="E961" t="str">
            <v>603 00 00</v>
          </cell>
          <cell r="F961" t="str">
            <v>001</v>
          </cell>
        </row>
        <row r="962">
          <cell r="A962" t="str">
            <v>Выполнение функций органами местного самоуправления</v>
          </cell>
          <cell r="B962" t="str">
            <v>903</v>
          </cell>
          <cell r="C962" t="str">
            <v>07</v>
          </cell>
          <cell r="D962" t="str">
            <v>09</v>
          </cell>
          <cell r="E962" t="str">
            <v>603 00 00</v>
          </cell>
          <cell r="F962" t="str">
            <v>001</v>
          </cell>
        </row>
        <row r="963">
          <cell r="A963" t="str">
            <v>Расходы</v>
          </cell>
          <cell r="B963" t="str">
            <v>903</v>
          </cell>
          <cell r="C963" t="str">
            <v>07</v>
          </cell>
          <cell r="D963" t="str">
            <v>09</v>
          </cell>
          <cell r="E963" t="str">
            <v>603 00 00</v>
          </cell>
          <cell r="F963" t="str">
            <v>001</v>
          </cell>
        </row>
        <row r="964">
          <cell r="A964" t="str">
            <v>Оплата труда и начисления на оплату труда</v>
          </cell>
          <cell r="B964" t="str">
            <v>903</v>
          </cell>
          <cell r="C964" t="str">
            <v>07</v>
          </cell>
          <cell r="D964" t="str">
            <v>09</v>
          </cell>
          <cell r="E964" t="str">
            <v>603 00 00</v>
          </cell>
          <cell r="F964" t="str">
            <v>001</v>
          </cell>
        </row>
        <row r="965">
          <cell r="A965" t="str">
            <v>Начисление на оплату труда</v>
          </cell>
          <cell r="B965" t="str">
            <v>903</v>
          </cell>
          <cell r="C965" t="str">
            <v>07</v>
          </cell>
          <cell r="D965" t="str">
            <v>09</v>
          </cell>
          <cell r="E965" t="str">
            <v>603 00 00</v>
          </cell>
          <cell r="F965" t="str">
            <v>001</v>
          </cell>
        </row>
        <row r="966">
          <cell r="A966" t="str">
            <v>Мероприятия в области образования </v>
          </cell>
          <cell r="B966" t="str">
            <v>903</v>
          </cell>
          <cell r="C966" t="str">
            <v>07</v>
          </cell>
          <cell r="D966" t="str">
            <v>09</v>
          </cell>
          <cell r="E966" t="str">
            <v>436 00 00</v>
          </cell>
          <cell r="F966" t="str">
            <v>000</v>
          </cell>
        </row>
        <row r="967">
          <cell r="A967" t="str">
            <v>Проведение мероприятий для детей и молодежи</v>
          </cell>
          <cell r="B967" t="str">
            <v>903</v>
          </cell>
          <cell r="C967" t="str">
            <v>07</v>
          </cell>
          <cell r="D967" t="str">
            <v>09</v>
          </cell>
          <cell r="E967" t="str">
            <v>436 09 00</v>
          </cell>
          <cell r="F967" t="str">
            <v>000</v>
          </cell>
        </row>
        <row r="968">
          <cell r="A968" t="str">
            <v>Выполнение функций органами местного самоуправления</v>
          </cell>
          <cell r="B968" t="str">
            <v>903</v>
          </cell>
          <cell r="C968" t="str">
            <v>07</v>
          </cell>
          <cell r="D968" t="str">
            <v>09</v>
          </cell>
          <cell r="E968" t="str">
            <v>436 09 00</v>
          </cell>
          <cell r="F968" t="str">
            <v>500</v>
          </cell>
        </row>
        <row r="969">
          <cell r="A969" t="str">
            <v>Расходы</v>
          </cell>
          <cell r="B969" t="str">
            <v>903</v>
          </cell>
          <cell r="C969" t="str">
            <v>07</v>
          </cell>
          <cell r="D969" t="str">
            <v>09</v>
          </cell>
          <cell r="E969" t="str">
            <v>436 09 00</v>
          </cell>
          <cell r="F969" t="str">
            <v>500</v>
          </cell>
        </row>
        <row r="970">
          <cell r="A970" t="str">
            <v>Приобретение услуг</v>
          </cell>
          <cell r="B970" t="str">
            <v>903</v>
          </cell>
          <cell r="C970" t="str">
            <v>07</v>
          </cell>
          <cell r="D970" t="str">
            <v>09</v>
          </cell>
          <cell r="E970" t="str">
            <v>436 09 00</v>
          </cell>
          <cell r="F970" t="str">
            <v>500</v>
          </cell>
        </row>
        <row r="971">
          <cell r="A971" t="str">
            <v>Транспортные услуги</v>
          </cell>
          <cell r="B971" t="str">
            <v>903</v>
          </cell>
          <cell r="C971" t="str">
            <v>07</v>
          </cell>
          <cell r="D971" t="str">
            <v>09</v>
          </cell>
          <cell r="E971" t="str">
            <v>436 09 00</v>
          </cell>
          <cell r="F971" t="str">
            <v>500</v>
          </cell>
        </row>
        <row r="972">
          <cell r="A972" t="str">
            <v>Прочие услуги </v>
          </cell>
          <cell r="B972" t="str">
            <v>903</v>
          </cell>
          <cell r="C972" t="str">
            <v>07</v>
          </cell>
          <cell r="D972" t="str">
            <v>09</v>
          </cell>
          <cell r="E972" t="str">
            <v>436 09 00</v>
          </cell>
          <cell r="F972" t="str">
            <v>500</v>
          </cell>
        </row>
        <row r="973">
          <cell r="A973" t="str">
            <v>Прочие расходы </v>
          </cell>
          <cell r="B973" t="str">
            <v>903</v>
          </cell>
          <cell r="C973" t="str">
            <v>07</v>
          </cell>
          <cell r="D973" t="str">
            <v>09</v>
          </cell>
          <cell r="E973" t="str">
            <v>436 09 00</v>
          </cell>
          <cell r="F973" t="str">
            <v>500</v>
          </cell>
        </row>
        <row r="974">
          <cell r="A974" t="str">
            <v>Поступление нефинансовых активов</v>
          </cell>
          <cell r="B974" t="str">
            <v>903</v>
          </cell>
          <cell r="C974" t="str">
            <v>07</v>
          </cell>
          <cell r="D974" t="str">
            <v>09</v>
          </cell>
          <cell r="E974" t="str">
            <v>436 09 00</v>
          </cell>
          <cell r="F974" t="str">
            <v>500</v>
          </cell>
        </row>
        <row r="975">
          <cell r="A975" t="str">
            <v>Увеличение стоимости основных средств</v>
          </cell>
          <cell r="B975" t="str">
            <v>903</v>
          </cell>
          <cell r="C975" t="str">
            <v>07</v>
          </cell>
          <cell r="D975" t="str">
            <v>09</v>
          </cell>
          <cell r="E975" t="str">
            <v>436 09 00</v>
          </cell>
          <cell r="F975" t="str">
            <v>500</v>
          </cell>
        </row>
        <row r="976">
          <cell r="A976" t="str">
            <v>Увеличение стоимости материальных запасов </v>
          </cell>
          <cell r="B976" t="str">
            <v>903</v>
          </cell>
          <cell r="C976" t="str">
            <v>07</v>
          </cell>
          <cell r="D976" t="str">
            <v>09</v>
          </cell>
          <cell r="E976" t="str">
            <v>436 09 00</v>
          </cell>
          <cell r="F976" t="str">
            <v>500</v>
          </cell>
        </row>
        <row r="977">
          <cell r="A977" t="str">
            <v>Внедрение инновационных образовательных программ </v>
          </cell>
          <cell r="B977" t="str">
            <v>903</v>
          </cell>
          <cell r="C977" t="str">
            <v>07</v>
          </cell>
          <cell r="D977" t="str">
            <v>09</v>
          </cell>
          <cell r="E977" t="str">
            <v>4360200</v>
          </cell>
          <cell r="F977" t="str">
            <v>000</v>
          </cell>
        </row>
        <row r="978">
          <cell r="A978" t="str">
            <v>Выполнение функций бюджетными учреждениями</v>
          </cell>
          <cell r="B978" t="str">
            <v>903</v>
          </cell>
          <cell r="C978" t="str">
            <v>07</v>
          </cell>
          <cell r="D978" t="str">
            <v>09</v>
          </cell>
          <cell r="E978" t="str">
            <v>4360200</v>
          </cell>
          <cell r="F978" t="str">
            <v>001</v>
          </cell>
        </row>
        <row r="979">
          <cell r="A979" t="str">
            <v>РАСХОДЫ</v>
          </cell>
          <cell r="B979">
            <v>903</v>
          </cell>
          <cell r="C979" t="str">
            <v>07</v>
          </cell>
          <cell r="D979" t="str">
            <v>09</v>
          </cell>
          <cell r="E979" t="str">
            <v>4360200</v>
          </cell>
          <cell r="F979" t="str">
            <v>001</v>
          </cell>
        </row>
        <row r="980">
          <cell r="A980" t="str">
            <v>ПОСТУПЛЕНИЕ НЕФИНАНСОВЫХ АКТИВОВ</v>
          </cell>
          <cell r="B980">
            <v>903</v>
          </cell>
          <cell r="C980" t="str">
            <v>07</v>
          </cell>
          <cell r="D980" t="str">
            <v>09</v>
          </cell>
          <cell r="E980" t="str">
            <v>4360200</v>
          </cell>
          <cell r="F980" t="str">
            <v>001</v>
          </cell>
        </row>
        <row r="981">
          <cell r="A981" t="str">
            <v>Увеличение стоимости основных средств</v>
          </cell>
          <cell r="B981">
            <v>903</v>
          </cell>
          <cell r="C981" t="str">
            <v>07</v>
          </cell>
          <cell r="D981" t="str">
            <v>09</v>
          </cell>
          <cell r="E981" t="str">
            <v>4360200</v>
          </cell>
          <cell r="F981" t="str">
            <v>001</v>
          </cell>
        </row>
        <row r="982">
          <cell r="A982" t="str">
    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    </cell>
          <cell r="B982" t="str">
            <v>903</v>
          </cell>
          <cell r="C982" t="str">
            <v>07</v>
          </cell>
          <cell r="D982" t="str">
            <v>09</v>
          </cell>
          <cell r="E982" t="str">
            <v>452 00 00</v>
          </cell>
          <cell r="F982" t="str">
            <v>000</v>
          </cell>
        </row>
        <row r="983">
          <cell r="A983" t="str">
            <v>Обеспечение деятельности подведомственных учреждений</v>
          </cell>
          <cell r="B983" t="str">
            <v>903</v>
          </cell>
          <cell r="C983" t="str">
            <v>07</v>
          </cell>
          <cell r="D983" t="str">
            <v>09</v>
          </cell>
          <cell r="E983" t="str">
            <v>452 99 00</v>
          </cell>
          <cell r="F983" t="str">
            <v>000</v>
          </cell>
        </row>
        <row r="984">
          <cell r="A984" t="str">
            <v>Выполнение функций бюджетными учреждениями</v>
          </cell>
          <cell r="B984" t="str">
            <v>903</v>
          </cell>
          <cell r="C984" t="str">
            <v>07</v>
          </cell>
          <cell r="D984" t="str">
            <v>09</v>
          </cell>
          <cell r="E984" t="str">
            <v>452 99 00</v>
          </cell>
          <cell r="F984" t="str">
            <v>001</v>
          </cell>
        </row>
        <row r="985">
          <cell r="A985" t="str">
            <v>Расходы</v>
          </cell>
          <cell r="B985" t="str">
            <v>903</v>
          </cell>
          <cell r="C985" t="str">
            <v>07</v>
          </cell>
          <cell r="D985" t="str">
            <v>09</v>
          </cell>
          <cell r="E985" t="str">
            <v>452 99 00</v>
          </cell>
          <cell r="F985" t="str">
            <v>001</v>
          </cell>
        </row>
        <row r="986">
          <cell r="A986" t="str">
            <v>Оплата труда и начисления на оплату труда</v>
          </cell>
          <cell r="B986" t="str">
            <v>903</v>
          </cell>
          <cell r="C986" t="str">
            <v>07</v>
          </cell>
          <cell r="D986" t="str">
            <v>09</v>
          </cell>
          <cell r="E986" t="str">
            <v>452 99 00</v>
          </cell>
          <cell r="F986" t="str">
            <v>001</v>
          </cell>
        </row>
        <row r="987">
          <cell r="A987" t="str">
            <v>Заработная плата</v>
          </cell>
          <cell r="B987" t="str">
            <v>903</v>
          </cell>
          <cell r="C987" t="str">
            <v>07</v>
          </cell>
          <cell r="D987" t="str">
            <v>09</v>
          </cell>
          <cell r="E987" t="str">
            <v>452 99 00</v>
          </cell>
          <cell r="F987" t="str">
            <v>001</v>
          </cell>
        </row>
        <row r="988">
          <cell r="A988" t="str">
            <v>Прочие выплаты</v>
          </cell>
          <cell r="B988" t="str">
            <v>903</v>
          </cell>
          <cell r="C988" t="str">
            <v>07</v>
          </cell>
          <cell r="D988" t="str">
            <v>09</v>
          </cell>
          <cell r="E988" t="str">
            <v>452 99 00</v>
          </cell>
          <cell r="F988" t="str">
            <v>001</v>
          </cell>
        </row>
        <row r="989">
          <cell r="A989" t="str">
            <v>Начисление на оплату труда</v>
          </cell>
          <cell r="B989" t="str">
            <v>903</v>
          </cell>
          <cell r="C989" t="str">
            <v>07</v>
          </cell>
          <cell r="D989" t="str">
            <v>09</v>
          </cell>
          <cell r="E989" t="str">
            <v>452 99 00</v>
          </cell>
          <cell r="F989" t="str">
            <v>001</v>
          </cell>
        </row>
        <row r="990">
          <cell r="A990" t="str">
            <v>Приобретение услуг</v>
          </cell>
          <cell r="B990" t="str">
            <v>903</v>
          </cell>
          <cell r="C990" t="str">
            <v>07</v>
          </cell>
          <cell r="D990" t="str">
            <v>09</v>
          </cell>
          <cell r="E990" t="str">
            <v>452 99 00</v>
          </cell>
          <cell r="F990" t="str">
            <v>001</v>
          </cell>
        </row>
        <row r="991">
          <cell r="A991" t="str">
            <v>Услуги связи </v>
          </cell>
          <cell r="B991" t="str">
            <v>903</v>
          </cell>
          <cell r="C991" t="str">
            <v>07</v>
          </cell>
          <cell r="D991" t="str">
            <v>09</v>
          </cell>
          <cell r="E991" t="str">
            <v>452 99 00</v>
          </cell>
          <cell r="F991" t="str">
            <v>001</v>
          </cell>
        </row>
        <row r="992">
          <cell r="A992" t="str">
            <v>Транспортные услуги</v>
          </cell>
          <cell r="B992" t="str">
            <v>903</v>
          </cell>
          <cell r="C992" t="str">
            <v>07</v>
          </cell>
          <cell r="D992" t="str">
            <v>09</v>
          </cell>
          <cell r="E992" t="str">
            <v>452 99 00</v>
          </cell>
          <cell r="F992" t="str">
            <v>001</v>
          </cell>
        </row>
        <row r="993">
          <cell r="A993" t="str">
            <v>Коммунальные услуги</v>
          </cell>
          <cell r="B993" t="str">
            <v>903</v>
          </cell>
          <cell r="C993" t="str">
            <v>07</v>
          </cell>
          <cell r="D993" t="str">
            <v>09</v>
          </cell>
          <cell r="E993" t="str">
            <v>452 99 00</v>
          </cell>
          <cell r="F993" t="str">
            <v>001</v>
          </cell>
        </row>
        <row r="994">
          <cell r="A994" t="str">
            <v>Арендная плата за пользование иммуществом </v>
          </cell>
          <cell r="B994" t="str">
            <v>903</v>
          </cell>
          <cell r="C994" t="str">
            <v>07</v>
          </cell>
          <cell r="D994" t="str">
            <v>09</v>
          </cell>
          <cell r="E994" t="str">
            <v>452 99 00</v>
          </cell>
          <cell r="F994" t="str">
            <v>001</v>
          </cell>
        </row>
        <row r="995">
          <cell r="A995" t="str">
            <v>Услуги по содержанию иммущества</v>
          </cell>
          <cell r="B995" t="str">
            <v>903</v>
          </cell>
          <cell r="C995" t="str">
            <v>07</v>
          </cell>
          <cell r="D995" t="str">
            <v>09</v>
          </cell>
          <cell r="E995" t="str">
            <v>452 99 00</v>
          </cell>
          <cell r="F995" t="str">
            <v>001</v>
          </cell>
        </row>
        <row r="996">
          <cell r="A996" t="str">
            <v>Услуги по содержанию иммущества 8,40,00</v>
          </cell>
          <cell r="B996" t="str">
            <v>903</v>
          </cell>
          <cell r="C996" t="str">
            <v>07</v>
          </cell>
          <cell r="D996" t="str">
            <v>09</v>
          </cell>
          <cell r="E996" t="str">
            <v>452 99 00</v>
          </cell>
          <cell r="F996" t="str">
            <v>001</v>
          </cell>
        </row>
        <row r="997">
          <cell r="A997" t="str">
            <v>Прочие услуги</v>
          </cell>
          <cell r="B997" t="str">
            <v>903</v>
          </cell>
          <cell r="C997" t="str">
            <v>07</v>
          </cell>
          <cell r="D997" t="str">
            <v>09</v>
          </cell>
          <cell r="E997" t="str">
            <v>452 99 00</v>
          </cell>
          <cell r="F997" t="str">
            <v>001</v>
          </cell>
        </row>
        <row r="998">
          <cell r="A998" t="str">
            <v>Прочие расходы </v>
          </cell>
          <cell r="B998" t="str">
            <v>903</v>
          </cell>
          <cell r="C998" t="str">
            <v>07</v>
          </cell>
          <cell r="D998" t="str">
            <v>09</v>
          </cell>
          <cell r="E998" t="str">
            <v>452 99 00</v>
          </cell>
          <cell r="F998" t="str">
            <v>001</v>
          </cell>
        </row>
        <row r="999">
          <cell r="A999" t="str">
            <v>Поступление нефинансовых активов</v>
          </cell>
          <cell r="B999" t="str">
            <v>903</v>
          </cell>
          <cell r="C999" t="str">
            <v>07</v>
          </cell>
          <cell r="D999" t="str">
            <v>09</v>
          </cell>
          <cell r="E999" t="str">
            <v>452 99 00</v>
          </cell>
          <cell r="F999" t="str">
            <v>001</v>
          </cell>
        </row>
        <row r="1000">
          <cell r="A1000" t="str">
            <v>Увеличение стоимости основных средств</v>
          </cell>
          <cell r="B1000" t="str">
            <v>903</v>
          </cell>
          <cell r="C1000" t="str">
            <v>07</v>
          </cell>
          <cell r="D1000" t="str">
            <v>09</v>
          </cell>
          <cell r="E1000" t="str">
            <v>452 99 00</v>
          </cell>
          <cell r="F1000" t="str">
            <v>001</v>
          </cell>
        </row>
        <row r="1001">
          <cell r="A1001" t="str">
            <v>Увеличение стоимости материальных запасов</v>
          </cell>
          <cell r="B1001" t="str">
            <v>903</v>
          </cell>
          <cell r="C1001" t="str">
            <v>07</v>
          </cell>
          <cell r="D1001" t="str">
            <v>09</v>
          </cell>
          <cell r="E1001" t="str">
            <v>452 99 00</v>
          </cell>
          <cell r="F1001" t="str">
            <v>001</v>
          </cell>
        </row>
        <row r="1002">
          <cell r="A1002" t="str">
            <v>Субсидии некоммерческим организациям</v>
          </cell>
          <cell r="B1002" t="str">
            <v>903</v>
          </cell>
          <cell r="C1002" t="str">
            <v>07</v>
          </cell>
          <cell r="D1002" t="str">
            <v>09</v>
          </cell>
          <cell r="E1002" t="str">
            <v>452 99 00</v>
          </cell>
          <cell r="F1002" t="str">
            <v>019</v>
          </cell>
        </row>
        <row r="1003">
          <cell r="A1003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003" t="str">
            <v>903</v>
          </cell>
          <cell r="C1003" t="str">
            <v>07</v>
          </cell>
          <cell r="D1003" t="str">
            <v>09</v>
          </cell>
          <cell r="E1003" t="str">
            <v>590 00 00</v>
          </cell>
          <cell r="F1003" t="str">
            <v>000</v>
          </cell>
        </row>
        <row r="1004">
          <cell r="A1004" t="str">
            <v>Выполнение функций бюджетными учреждениями</v>
          </cell>
          <cell r="B1004" t="str">
            <v>903</v>
          </cell>
          <cell r="C1004" t="str">
            <v>07</v>
          </cell>
          <cell r="D1004" t="str">
            <v>09</v>
          </cell>
          <cell r="E1004" t="str">
            <v>590 00 00</v>
          </cell>
          <cell r="F1004" t="str">
            <v>001</v>
          </cell>
        </row>
        <row r="1005">
          <cell r="A1005" t="str">
            <v>Выполнение функций органами местного самоуправления</v>
          </cell>
          <cell r="B1005" t="str">
            <v>903</v>
          </cell>
          <cell r="C1005" t="str">
            <v>07</v>
          </cell>
          <cell r="D1005" t="str">
            <v>09</v>
          </cell>
          <cell r="E1005" t="str">
            <v>590 00 00</v>
          </cell>
          <cell r="F1005" t="str">
            <v>500</v>
          </cell>
        </row>
        <row r="1006">
          <cell r="A1006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1006" t="str">
            <v>903</v>
          </cell>
          <cell r="C1006" t="str">
            <v>07</v>
          </cell>
          <cell r="D1006" t="str">
            <v>09</v>
          </cell>
          <cell r="E1006" t="str">
            <v>594 00 00</v>
          </cell>
          <cell r="F1006" t="str">
            <v>000</v>
          </cell>
        </row>
        <row r="1007">
          <cell r="A1007" t="str">
            <v>Субсидии некоммерческим организациям</v>
          </cell>
          <cell r="B1007" t="str">
            <v>903</v>
          </cell>
          <cell r="C1007" t="str">
            <v>07</v>
          </cell>
          <cell r="D1007" t="str">
            <v>09</v>
          </cell>
          <cell r="E1007" t="str">
            <v>594 00 00</v>
          </cell>
          <cell r="F1007" t="str">
            <v>500</v>
          </cell>
        </row>
        <row r="1008">
          <cell r="A1008" t="str">
            <v>Целевые программы муниципальных образований </v>
          </cell>
          <cell r="B1008" t="str">
            <v>903</v>
          </cell>
          <cell r="C1008" t="str">
            <v>07</v>
          </cell>
          <cell r="D1008" t="str">
            <v>09</v>
          </cell>
          <cell r="E1008" t="str">
            <v>795 00 00</v>
          </cell>
          <cell r="F1008" t="str">
            <v>000</v>
          </cell>
        </row>
        <row r="1009">
          <cell r="A1009" t="str">
            <v>Выполнение функций органами местного самоуправления</v>
          </cell>
          <cell r="B1009" t="str">
            <v>903</v>
          </cell>
          <cell r="C1009" t="str">
            <v>07</v>
          </cell>
          <cell r="D1009" t="str">
            <v>09</v>
          </cell>
          <cell r="E1009" t="str">
            <v>795 00 00</v>
          </cell>
          <cell r="F1009" t="str">
            <v>500</v>
          </cell>
        </row>
        <row r="1010">
          <cell r="A1010" t="str">
            <v>Расходы</v>
          </cell>
          <cell r="B1010" t="str">
            <v>903</v>
          </cell>
          <cell r="C1010" t="str">
            <v>07</v>
          </cell>
          <cell r="D1010" t="str">
            <v>09</v>
          </cell>
          <cell r="E1010" t="str">
            <v>795 00 00</v>
          </cell>
          <cell r="F1010" t="str">
            <v>500</v>
          </cell>
        </row>
        <row r="1011">
          <cell r="A1011" t="str">
            <v>Приобретение услуг</v>
          </cell>
          <cell r="B1011" t="str">
            <v>903</v>
          </cell>
          <cell r="C1011" t="str">
            <v>07</v>
          </cell>
          <cell r="D1011" t="str">
            <v>09</v>
          </cell>
          <cell r="E1011" t="str">
            <v>795 00 00</v>
          </cell>
          <cell r="F1011" t="str">
            <v>500</v>
          </cell>
        </row>
        <row r="1012">
          <cell r="A1012" t="str">
            <v>Обеспечение пожарной безопасности в образовательных учреждениях Усольского района на 2012-2014 год</v>
          </cell>
          <cell r="B1012" t="str">
            <v>903</v>
          </cell>
          <cell r="C1012" t="str">
            <v>07</v>
          </cell>
          <cell r="D1012" t="str">
            <v>09</v>
          </cell>
          <cell r="E1012" t="str">
            <v>795 01 00</v>
          </cell>
          <cell r="F1012" t="str">
            <v>000</v>
          </cell>
        </row>
        <row r="1013">
          <cell r="A1013" t="str">
            <v>Выполнение функций органами местного самоуправления</v>
          </cell>
          <cell r="B1013" t="str">
            <v>903</v>
          </cell>
          <cell r="C1013" t="str">
            <v>07</v>
          </cell>
          <cell r="D1013" t="str">
            <v>09</v>
          </cell>
          <cell r="E1013" t="str">
            <v>795 01 00</v>
          </cell>
          <cell r="F1013" t="str">
            <v>500</v>
          </cell>
        </row>
        <row r="1014">
          <cell r="A1014" t="str">
            <v>Информатизация системы образования Усольского района в 2012-2014г.</v>
          </cell>
          <cell r="B1014" t="str">
            <v>903</v>
          </cell>
          <cell r="C1014" t="str">
            <v>07</v>
          </cell>
          <cell r="D1014" t="str">
            <v>09</v>
          </cell>
          <cell r="E1014" t="str">
            <v>795 03 00</v>
          </cell>
          <cell r="F1014" t="str">
            <v>000</v>
          </cell>
        </row>
        <row r="1015">
          <cell r="A1015" t="str">
            <v>Выполнение функций органами местного самоуправления</v>
          </cell>
          <cell r="B1015" t="str">
            <v>903</v>
          </cell>
          <cell r="C1015" t="str">
            <v>07</v>
          </cell>
          <cell r="D1015" t="str">
            <v>09</v>
          </cell>
          <cell r="E1015" t="str">
            <v>795 03 00</v>
          </cell>
          <cell r="F1015" t="str">
            <v>500</v>
          </cell>
        </row>
        <row r="1016">
          <cell r="A1016" t="str">
            <v>Обеспечение охраны образовательных учреждений Усольского района в 2012-2014 г</v>
          </cell>
          <cell r="B1016" t="str">
            <v>903</v>
          </cell>
          <cell r="C1016" t="str">
            <v>07</v>
          </cell>
          <cell r="D1016" t="str">
            <v>09</v>
          </cell>
          <cell r="E1016" t="str">
            <v>795 05 00</v>
          </cell>
          <cell r="F1016" t="str">
            <v>000</v>
          </cell>
        </row>
        <row r="1017">
          <cell r="A1017" t="str">
            <v>Выполнение функций органами местного самоуправления</v>
          </cell>
          <cell r="B1017" t="str">
            <v>903</v>
          </cell>
          <cell r="C1017" t="str">
            <v>07</v>
          </cell>
          <cell r="D1017" t="str">
            <v>09</v>
          </cell>
          <cell r="E1017" t="str">
            <v>795 05 00</v>
          </cell>
          <cell r="F1017" t="str">
            <v>500</v>
          </cell>
        </row>
        <row r="1018">
          <cell r="A1018" t="str">
            <v>Обеспечение  безопасности школьных перевозок  детей  образовательными учреждениями  Усольского района в 2012-2014г</v>
          </cell>
          <cell r="B1018" t="str">
            <v>903</v>
          </cell>
          <cell r="C1018" t="str">
            <v>07</v>
          </cell>
          <cell r="D1018" t="str">
            <v>09</v>
          </cell>
          <cell r="E1018" t="str">
            <v>795 06 00</v>
          </cell>
          <cell r="F1018" t="str">
            <v>000</v>
          </cell>
        </row>
        <row r="1019">
          <cell r="A1019" t="str">
            <v>Выполнение функций органами местного самоуправления</v>
          </cell>
          <cell r="B1019" t="str">
            <v>903</v>
          </cell>
          <cell r="C1019" t="str">
            <v>07</v>
          </cell>
          <cell r="D1019" t="str">
            <v>09</v>
          </cell>
          <cell r="E1019" t="str">
            <v>795 06 00</v>
          </cell>
          <cell r="F1019" t="str">
            <v>500</v>
          </cell>
        </row>
        <row r="1020">
          <cell r="A1020" t="str">
            <v>Обучение и воспитание одаренных детей в Усольском районе на 2012-2014гг.</v>
          </cell>
          <cell r="B1020" t="str">
            <v>903</v>
          </cell>
          <cell r="C1020" t="str">
            <v>07</v>
          </cell>
          <cell r="D1020" t="str">
            <v>09</v>
          </cell>
          <cell r="E1020" t="str">
            <v>795 07 00</v>
          </cell>
          <cell r="F1020" t="str">
            <v>000</v>
          </cell>
        </row>
        <row r="1021">
          <cell r="A1021" t="str">
            <v>Выполнение функций органами местного самоуправления</v>
          </cell>
          <cell r="B1021" t="str">
            <v>903</v>
          </cell>
          <cell r="C1021" t="str">
            <v>07</v>
          </cell>
          <cell r="D1021" t="str">
            <v>09</v>
          </cell>
          <cell r="E1021" t="str">
            <v>795 07 00</v>
          </cell>
          <cell r="F1021" t="str">
            <v>500</v>
          </cell>
        </row>
        <row r="1022">
          <cell r="A1022" t="str">
            <v>Здоровое поколение в 2012-2014 г</v>
          </cell>
          <cell r="B1022" t="str">
            <v>903</v>
          </cell>
          <cell r="C1022" t="str">
            <v>07</v>
          </cell>
          <cell r="D1022" t="str">
            <v>09</v>
          </cell>
          <cell r="E1022" t="str">
            <v>795 08 00</v>
          </cell>
          <cell r="F1022" t="str">
            <v>000</v>
          </cell>
        </row>
        <row r="1023">
          <cell r="A1023" t="str">
            <v>Выполнение функций органами местного самоуправления</v>
          </cell>
          <cell r="B1023" t="str">
            <v>903</v>
          </cell>
          <cell r="C1023" t="str">
            <v>07</v>
          </cell>
          <cell r="D1023" t="str">
            <v>09</v>
          </cell>
          <cell r="E1023" t="str">
            <v>795 08 00</v>
          </cell>
          <cell r="F1023" t="str">
            <v>500</v>
          </cell>
        </row>
        <row r="1024">
          <cell r="A1024" t="str">
            <v>Улучшение условий охраны труда ,обеспечение санитарно-гигиенического благополучия в образовательных учреждениях Усольского района в 2012-2014гг</v>
          </cell>
          <cell r="B1024" t="str">
            <v>903</v>
          </cell>
          <cell r="C1024" t="str">
            <v>07</v>
          </cell>
          <cell r="D1024" t="str">
            <v>09</v>
          </cell>
          <cell r="E1024" t="str">
            <v>795 09 00</v>
          </cell>
          <cell r="F1024" t="str">
            <v>000</v>
          </cell>
        </row>
        <row r="1025">
          <cell r="A1025" t="str">
            <v>Выполнение функций органами местного самоуправления</v>
          </cell>
          <cell r="B1025" t="str">
            <v>903</v>
          </cell>
          <cell r="C1025" t="str">
            <v>07</v>
          </cell>
          <cell r="D1025" t="str">
            <v>09</v>
          </cell>
          <cell r="E1025" t="str">
            <v>795 09 00</v>
          </cell>
          <cell r="F1025" t="str">
            <v>500</v>
          </cell>
        </row>
        <row r="1026">
          <cell r="A1026" t="str">
            <v>Развитие дошкольного образования на территории  Усольского района 2012-2014 г</v>
          </cell>
          <cell r="B1026" t="str">
            <v>903</v>
          </cell>
          <cell r="C1026" t="str">
            <v>07</v>
          </cell>
          <cell r="D1026" t="str">
            <v>09</v>
          </cell>
          <cell r="E1026" t="str">
            <v>795 10 00</v>
          </cell>
          <cell r="F1026" t="str">
            <v>000</v>
          </cell>
        </row>
        <row r="1027">
          <cell r="A1027" t="str">
            <v>Выполнение функций органами местного самоуправления</v>
          </cell>
          <cell r="B1027" t="str">
            <v>903</v>
          </cell>
          <cell r="C1027" t="str">
            <v>07</v>
          </cell>
          <cell r="D1027" t="str">
            <v>09</v>
          </cell>
          <cell r="E1027" t="str">
            <v>795 10 00</v>
          </cell>
          <cell r="F1027" t="str">
            <v>500</v>
          </cell>
        </row>
        <row r="1028">
          <cell r="A1028" t="str">
            <v>Демографическое развитие УРМО на 2009-2012 гг</v>
          </cell>
          <cell r="B1028" t="str">
            <v>903</v>
          </cell>
          <cell r="C1028" t="str">
            <v>07</v>
          </cell>
          <cell r="D1028" t="str">
            <v>09</v>
          </cell>
          <cell r="E1028" t="str">
            <v>795 31 00</v>
          </cell>
          <cell r="F1028" t="str">
            <v>000</v>
          </cell>
        </row>
        <row r="1029">
          <cell r="A1029" t="str">
            <v>Выполнение функций органами местного самоуправления</v>
          </cell>
          <cell r="B1029" t="str">
            <v>903</v>
          </cell>
          <cell r="C1029" t="str">
            <v>07</v>
          </cell>
          <cell r="D1029" t="str">
            <v>09</v>
          </cell>
          <cell r="E1029" t="str">
            <v>795 31 00</v>
          </cell>
          <cell r="F1029" t="str">
            <v>500</v>
          </cell>
        </row>
        <row r="1030">
          <cell r="A1030" t="str">
            <v>Совершенствование организации питания в образовательных учреждениях Усольского района на 2011-2012гг</v>
          </cell>
          <cell r="B1030" t="str">
            <v>903</v>
          </cell>
          <cell r="C1030" t="str">
            <v>07</v>
          </cell>
          <cell r="D1030" t="str">
            <v>09</v>
          </cell>
          <cell r="E1030" t="str">
            <v>795 33 00</v>
          </cell>
          <cell r="F1030" t="str">
            <v>000</v>
          </cell>
        </row>
        <row r="1031">
          <cell r="A1031" t="str">
            <v>Прочие услуги</v>
          </cell>
          <cell r="B1031" t="str">
            <v>903</v>
          </cell>
          <cell r="C1031" t="str">
            <v>07</v>
          </cell>
          <cell r="D1031" t="str">
            <v>09</v>
          </cell>
          <cell r="E1031" t="str">
            <v>795 09 00</v>
          </cell>
          <cell r="F1031" t="str">
            <v>500</v>
          </cell>
        </row>
        <row r="1032">
          <cell r="A1032" t="str">
            <v>Прочие услуги</v>
          </cell>
          <cell r="B1032" t="str">
            <v>903</v>
          </cell>
          <cell r="C1032" t="str">
            <v>07</v>
          </cell>
          <cell r="D1032" t="str">
            <v>09</v>
          </cell>
          <cell r="E1032" t="str">
            <v>795 10 00</v>
          </cell>
          <cell r="F1032" t="str">
            <v>500</v>
          </cell>
        </row>
        <row r="1033">
          <cell r="A1033" t="str">
            <v>Прочие услуги</v>
          </cell>
          <cell r="B1033" t="str">
            <v>903</v>
          </cell>
          <cell r="C1033" t="str">
            <v>07</v>
          </cell>
          <cell r="D1033" t="str">
            <v>09</v>
          </cell>
          <cell r="E1033" t="str">
            <v>795 00 00</v>
          </cell>
          <cell r="F1033" t="str">
            <v>500</v>
          </cell>
        </row>
        <row r="1034">
          <cell r="A1034" t="str">
            <v>Прочие услуги</v>
          </cell>
          <cell r="B1034" t="str">
            <v>903</v>
          </cell>
          <cell r="C1034" t="str">
            <v>07</v>
          </cell>
          <cell r="D1034" t="str">
            <v>09</v>
          </cell>
          <cell r="E1034" t="str">
            <v>795 00 00</v>
          </cell>
          <cell r="F1034" t="str">
            <v>500</v>
          </cell>
        </row>
        <row r="1035">
          <cell r="A1035" t="str">
            <v>Прочие расходы </v>
          </cell>
          <cell r="B1035" t="str">
            <v>903</v>
          </cell>
          <cell r="C1035" t="str">
            <v>07</v>
          </cell>
          <cell r="D1035" t="str">
            <v>09</v>
          </cell>
          <cell r="E1035" t="str">
            <v>795 00 00</v>
          </cell>
          <cell r="F1035" t="str">
            <v>500</v>
          </cell>
        </row>
        <row r="1036">
          <cell r="A1036" t="str">
            <v>Поступление нефинансовых активов</v>
          </cell>
          <cell r="B1036" t="str">
            <v>903</v>
          </cell>
          <cell r="C1036" t="str">
            <v>07</v>
          </cell>
          <cell r="D1036" t="str">
            <v>09</v>
          </cell>
          <cell r="E1036" t="str">
            <v>795 00 00</v>
          </cell>
          <cell r="F1036" t="str">
            <v>500</v>
          </cell>
        </row>
        <row r="1037">
          <cell r="A1037" t="str">
            <v>Увеличение стоимости основных средств</v>
          </cell>
          <cell r="B1037" t="str">
            <v>903</v>
          </cell>
          <cell r="C1037" t="str">
            <v>07</v>
          </cell>
          <cell r="D1037" t="str">
            <v>09</v>
          </cell>
          <cell r="E1037" t="str">
            <v>795 00 00</v>
          </cell>
          <cell r="F1037" t="str">
            <v>500</v>
          </cell>
        </row>
        <row r="1038">
          <cell r="A1038" t="str">
            <v>Увеличение стоимости материальных запасов </v>
          </cell>
          <cell r="B1038" t="str">
            <v>903</v>
          </cell>
          <cell r="C1038" t="str">
            <v>07</v>
          </cell>
          <cell r="D1038" t="str">
            <v>09</v>
          </cell>
          <cell r="E1038" t="str">
            <v>795 00 00</v>
          </cell>
          <cell r="F1038" t="str">
            <v>500</v>
          </cell>
        </row>
        <row r="1039">
          <cell r="A1039" t="str">
            <v>Прочие услуги</v>
          </cell>
          <cell r="B1039" t="str">
            <v>903</v>
          </cell>
          <cell r="C1039" t="str">
            <v>07</v>
          </cell>
          <cell r="D1039" t="str">
            <v>09</v>
          </cell>
          <cell r="E1039" t="str">
            <v>795 33 00</v>
          </cell>
          <cell r="F1039" t="str">
            <v>500</v>
          </cell>
        </row>
        <row r="1040">
          <cell r="A1040" t="str">
            <v>Прочие расходы </v>
          </cell>
          <cell r="B1040" t="str">
            <v>903</v>
          </cell>
          <cell r="C1040" t="str">
            <v>07</v>
          </cell>
          <cell r="D1040" t="str">
            <v>09</v>
          </cell>
          <cell r="E1040" t="str">
            <v>795 01 00</v>
          </cell>
          <cell r="F1040" t="str">
            <v>500</v>
          </cell>
        </row>
        <row r="1041">
          <cell r="A1041" t="str">
            <v>Прочие расходы </v>
          </cell>
          <cell r="B1041" t="str">
            <v>903</v>
          </cell>
          <cell r="C1041" t="str">
            <v>07</v>
          </cell>
          <cell r="D1041" t="str">
            <v>09</v>
          </cell>
          <cell r="E1041" t="str">
            <v>795 07 00</v>
          </cell>
          <cell r="F1041" t="str">
            <v>500</v>
          </cell>
        </row>
        <row r="1042">
          <cell r="B1042" t="str">
            <v>903</v>
          </cell>
          <cell r="C1042" t="str">
            <v>07</v>
          </cell>
          <cell r="D1042" t="str">
            <v>09</v>
          </cell>
          <cell r="E1042" t="str">
            <v>795 08 00</v>
          </cell>
          <cell r="F1042" t="str">
            <v>500</v>
          </cell>
        </row>
        <row r="1043">
          <cell r="A1043" t="str">
            <v>Поступление нефинансовых активов</v>
          </cell>
          <cell r="B1043" t="str">
            <v>903</v>
          </cell>
          <cell r="C1043" t="str">
            <v>07</v>
          </cell>
          <cell r="D1043" t="str">
            <v>09</v>
          </cell>
          <cell r="E1043" t="str">
            <v>795 03 00</v>
          </cell>
          <cell r="F1043" t="str">
            <v>500</v>
          </cell>
        </row>
        <row r="1044">
          <cell r="B1044" t="str">
            <v>903</v>
          </cell>
          <cell r="C1044" t="str">
            <v>07</v>
          </cell>
          <cell r="D1044" t="str">
            <v>09</v>
          </cell>
          <cell r="E1044" t="str">
            <v>795 01 00</v>
          </cell>
          <cell r="F1044" t="str">
            <v>500</v>
          </cell>
        </row>
        <row r="1045">
          <cell r="A1045" t="str">
            <v>Увеличение стоимости основных средств</v>
          </cell>
          <cell r="B1045" t="str">
            <v>903</v>
          </cell>
          <cell r="C1045" t="str">
            <v>07</v>
          </cell>
          <cell r="D1045" t="str">
            <v>09</v>
          </cell>
          <cell r="E1045" t="str">
            <v>795 03 00</v>
          </cell>
          <cell r="F1045" t="str">
            <v>500</v>
          </cell>
        </row>
        <row r="1046">
          <cell r="B1046" t="str">
            <v>903</v>
          </cell>
          <cell r="C1046" t="str">
            <v>07</v>
          </cell>
          <cell r="D1046" t="str">
            <v>09</v>
          </cell>
          <cell r="E1046" t="str">
            <v>795 09 00</v>
          </cell>
          <cell r="F1046" t="str">
            <v>500</v>
          </cell>
        </row>
        <row r="1047">
          <cell r="A1047" t="str">
            <v>Увеличение стоимости основных средств</v>
          </cell>
          <cell r="B1047" t="str">
            <v>903</v>
          </cell>
          <cell r="C1047" t="str">
            <v>07</v>
          </cell>
          <cell r="D1047" t="str">
            <v>09</v>
          </cell>
          <cell r="E1047" t="str">
            <v>795 06 00</v>
          </cell>
          <cell r="F1047" t="str">
            <v>500</v>
          </cell>
        </row>
        <row r="1048">
          <cell r="A1048" t="str">
            <v>Увеличение стоимости основных средств</v>
          </cell>
          <cell r="B1048" t="str">
            <v>903</v>
          </cell>
          <cell r="C1048" t="str">
            <v>07</v>
          </cell>
          <cell r="D1048" t="str">
            <v>09</v>
          </cell>
          <cell r="E1048" t="str">
            <v>795 10 00</v>
          </cell>
          <cell r="F1048" t="str">
            <v>500</v>
          </cell>
        </row>
        <row r="1049">
          <cell r="A1049" t="str">
            <v>Увеличение стоимости материальных запасов</v>
          </cell>
          <cell r="B1049" t="str">
            <v>903</v>
          </cell>
          <cell r="C1049" t="str">
            <v>07</v>
          </cell>
          <cell r="D1049" t="str">
            <v>09</v>
          </cell>
          <cell r="E1049" t="str">
            <v>795 01 00</v>
          </cell>
          <cell r="F1049" t="str">
            <v>500</v>
          </cell>
        </row>
        <row r="1050">
          <cell r="A1050" t="str">
            <v>Увеличение стоимости материальных запасов</v>
          </cell>
          <cell r="B1050" t="str">
            <v>903</v>
          </cell>
          <cell r="C1050" t="str">
            <v>07</v>
          </cell>
          <cell r="D1050" t="str">
            <v>09</v>
          </cell>
          <cell r="E1050" t="str">
            <v>795 06 00</v>
          </cell>
          <cell r="F1050" t="str">
            <v>500</v>
          </cell>
        </row>
        <row r="1052">
          <cell r="A1052" t="str">
            <v>Увеличение стоимости материальных запасов</v>
          </cell>
          <cell r="B1052" t="str">
            <v>903</v>
          </cell>
          <cell r="C1052" t="str">
            <v>07</v>
          </cell>
          <cell r="D1052" t="str">
            <v>09</v>
          </cell>
          <cell r="E1052" t="str">
            <v>795 07 00</v>
          </cell>
          <cell r="F1052" t="str">
            <v>500</v>
          </cell>
        </row>
        <row r="1053">
          <cell r="B1053" t="str">
            <v>903</v>
          </cell>
          <cell r="C1053" t="str">
            <v>07</v>
          </cell>
          <cell r="D1053" t="str">
            <v>09</v>
          </cell>
          <cell r="E1053" t="str">
            <v>795 09 00</v>
          </cell>
          <cell r="F1053" t="str">
            <v>500</v>
          </cell>
        </row>
        <row r="1054">
          <cell r="A1054" t="str">
            <v>Увеличение стоимости материальных запасов</v>
          </cell>
          <cell r="B1054" t="str">
            <v>903</v>
          </cell>
          <cell r="C1054" t="str">
            <v>07</v>
          </cell>
          <cell r="D1054" t="str">
            <v>09</v>
          </cell>
          <cell r="E1054" t="str">
            <v>795 08 00</v>
          </cell>
          <cell r="F1054" t="str">
            <v>500</v>
          </cell>
        </row>
        <row r="1055">
          <cell r="A1055" t="str">
            <v>Увеличение стоимости материальных запасов</v>
          </cell>
          <cell r="B1055" t="str">
            <v>903</v>
          </cell>
          <cell r="C1055" t="str">
            <v>07</v>
          </cell>
          <cell r="D1055" t="str">
            <v>09</v>
          </cell>
          <cell r="E1055" t="str">
            <v>795 10 00</v>
          </cell>
          <cell r="F1055" t="str">
            <v>500</v>
          </cell>
        </row>
        <row r="1056">
          <cell r="A1056" t="str">
            <v>Образование </v>
          </cell>
          <cell r="C1056" t="str">
            <v>07</v>
          </cell>
          <cell r="D1056" t="str">
            <v>00</v>
          </cell>
          <cell r="E1056" t="str">
            <v>000 00 00</v>
          </cell>
          <cell r="F1056" t="str">
            <v>000</v>
          </cell>
        </row>
        <row r="1057">
          <cell r="A1057" t="str">
            <v>Расходы</v>
          </cell>
          <cell r="C1057" t="str">
            <v>07</v>
          </cell>
          <cell r="D1057" t="str">
            <v>00</v>
          </cell>
          <cell r="E1057" t="str">
            <v>000 00 00</v>
          </cell>
          <cell r="F1057" t="str">
            <v>000</v>
          </cell>
        </row>
        <row r="1058">
          <cell r="A1058" t="str">
            <v>Оплата труда и начисления на оплату труда</v>
          </cell>
          <cell r="C1058" t="str">
            <v>07</v>
          </cell>
          <cell r="D1058" t="str">
            <v>00</v>
          </cell>
          <cell r="E1058" t="str">
            <v>000 00 00</v>
          </cell>
          <cell r="F1058" t="str">
            <v>000</v>
          </cell>
        </row>
        <row r="1059">
          <cell r="A1059" t="str">
            <v>Заработная плата</v>
          </cell>
          <cell r="C1059" t="str">
            <v>07</v>
          </cell>
          <cell r="D1059" t="str">
            <v>00</v>
          </cell>
          <cell r="E1059" t="str">
            <v>000 00 00</v>
          </cell>
          <cell r="F1059" t="str">
            <v>000</v>
          </cell>
        </row>
        <row r="1060">
          <cell r="A1060" t="str">
            <v>Прочие выплаты</v>
          </cell>
          <cell r="C1060" t="str">
            <v>07</v>
          </cell>
          <cell r="D1060" t="str">
            <v>00</v>
          </cell>
          <cell r="E1060" t="str">
            <v>000 00 00</v>
          </cell>
          <cell r="F1060" t="str">
            <v>000</v>
          </cell>
        </row>
        <row r="1061">
          <cell r="A1061" t="str">
            <v>Начисление на оплату труда</v>
          </cell>
          <cell r="C1061" t="str">
            <v>07</v>
          </cell>
          <cell r="D1061" t="str">
            <v>00</v>
          </cell>
          <cell r="E1061" t="str">
            <v>000 00 00</v>
          </cell>
          <cell r="F1061" t="str">
            <v>000</v>
          </cell>
        </row>
        <row r="1062">
          <cell r="A1062" t="str">
            <v>Приобретение услуг</v>
          </cell>
          <cell r="C1062" t="str">
            <v>07</v>
          </cell>
          <cell r="D1062" t="str">
            <v>00</v>
          </cell>
          <cell r="E1062" t="str">
            <v>000 00 00</v>
          </cell>
          <cell r="F1062" t="str">
            <v>000</v>
          </cell>
        </row>
        <row r="1063">
          <cell r="A1063" t="str">
            <v>Услуги связи </v>
          </cell>
          <cell r="C1063" t="str">
            <v>07</v>
          </cell>
          <cell r="D1063" t="str">
            <v>00</v>
          </cell>
          <cell r="E1063" t="str">
            <v>000 00 00</v>
          </cell>
          <cell r="F1063" t="str">
            <v>000</v>
          </cell>
        </row>
        <row r="1064">
          <cell r="A1064" t="str">
            <v>Транспортные услуги</v>
          </cell>
          <cell r="C1064" t="str">
            <v>07</v>
          </cell>
          <cell r="D1064" t="str">
            <v>00</v>
          </cell>
          <cell r="E1064" t="str">
            <v>000 00 00</v>
          </cell>
          <cell r="F1064" t="str">
            <v>000</v>
          </cell>
        </row>
        <row r="1065">
          <cell r="A1065" t="str">
            <v>Коммунальные услуги</v>
          </cell>
          <cell r="C1065" t="str">
            <v>07</v>
          </cell>
          <cell r="D1065" t="str">
            <v>00</v>
          </cell>
          <cell r="E1065" t="str">
            <v>000 00 00</v>
          </cell>
          <cell r="F1065" t="str">
            <v>000</v>
          </cell>
        </row>
        <row r="1066">
          <cell r="A1066" t="str">
            <v>Арендная плата за пользование иммуществом </v>
          </cell>
          <cell r="C1066" t="str">
            <v>07</v>
          </cell>
          <cell r="D1066" t="str">
            <v>00</v>
          </cell>
          <cell r="E1066" t="str">
            <v>000 00 00</v>
          </cell>
          <cell r="F1066" t="str">
            <v>000</v>
          </cell>
        </row>
        <row r="1067">
          <cell r="A1067" t="str">
            <v>Услуги по содержанию иммущества</v>
          </cell>
          <cell r="C1067" t="str">
            <v>07</v>
          </cell>
          <cell r="D1067" t="str">
            <v>00</v>
          </cell>
          <cell r="E1067" t="str">
            <v>000 00 00</v>
          </cell>
          <cell r="F1067" t="str">
            <v>000</v>
          </cell>
        </row>
        <row r="1068">
          <cell r="A1068" t="str">
            <v>Безвозмездные и безвозвратные перечисления государственным и муниципальным организациям</v>
          </cell>
          <cell r="C1068" t="str">
            <v>07</v>
          </cell>
          <cell r="D1068" t="str">
            <v>00</v>
          </cell>
          <cell r="E1068" t="str">
            <v>000 00 00</v>
          </cell>
          <cell r="F1068" t="str">
            <v>000</v>
          </cell>
        </row>
        <row r="1069">
          <cell r="A1069" t="str">
            <v>Прочие услуги</v>
          </cell>
          <cell r="C1069" t="str">
            <v>07</v>
          </cell>
          <cell r="D1069" t="str">
            <v>00</v>
          </cell>
          <cell r="E1069" t="str">
            <v>000 00 00</v>
          </cell>
          <cell r="F1069" t="str">
            <v>000</v>
          </cell>
        </row>
        <row r="1070">
          <cell r="A1070" t="str">
            <v>Социальное обеспечение</v>
          </cell>
          <cell r="C1070" t="str">
            <v>07</v>
          </cell>
          <cell r="D1070" t="str">
            <v>00</v>
          </cell>
          <cell r="E1070" t="str">
            <v>000 00 00</v>
          </cell>
          <cell r="F1070" t="str">
            <v>000</v>
          </cell>
        </row>
        <row r="1071">
          <cell r="A1071" t="str">
            <v>Пособия по социальной помощи населению</v>
          </cell>
          <cell r="C1071" t="str">
            <v>07</v>
          </cell>
          <cell r="D1071" t="str">
            <v>00</v>
          </cell>
          <cell r="E1071" t="str">
            <v>000 00 00</v>
          </cell>
          <cell r="F1071" t="str">
            <v>000</v>
          </cell>
        </row>
        <row r="1072">
          <cell r="A1072" t="str">
            <v>Прочие расходы</v>
          </cell>
          <cell r="C1072" t="str">
            <v>07</v>
          </cell>
          <cell r="D1072" t="str">
            <v>00</v>
          </cell>
          <cell r="E1072" t="str">
            <v>000 00 00</v>
          </cell>
          <cell r="F1072" t="str">
            <v>000</v>
          </cell>
        </row>
        <row r="1073">
          <cell r="A1073" t="str">
            <v>Поступление нефинансовых активов</v>
          </cell>
          <cell r="C1073" t="str">
            <v>07</v>
          </cell>
          <cell r="D1073" t="str">
            <v>00</v>
          </cell>
          <cell r="E1073" t="str">
            <v>000 00 00</v>
          </cell>
          <cell r="F1073" t="str">
            <v>000</v>
          </cell>
        </row>
        <row r="1074">
          <cell r="A1074" t="str">
            <v>Увеличение стоимости основных средств</v>
          </cell>
          <cell r="C1074" t="str">
            <v>07</v>
          </cell>
          <cell r="D1074" t="str">
            <v>00</v>
          </cell>
          <cell r="E1074" t="str">
            <v>000 00 00</v>
          </cell>
          <cell r="F1074" t="str">
            <v>000</v>
          </cell>
        </row>
        <row r="1075">
          <cell r="A1075" t="str">
            <v>Увеличение стоимости материальных запасов</v>
          </cell>
          <cell r="C1075" t="str">
            <v>07</v>
          </cell>
          <cell r="D1075" t="str">
            <v>00</v>
          </cell>
          <cell r="E1075" t="str">
            <v>000 00 00</v>
          </cell>
          <cell r="F1075" t="str">
            <v>000</v>
          </cell>
        </row>
        <row r="1076">
          <cell r="A1076" t="str">
            <v>Пособие по социальной помощи населению </v>
          </cell>
          <cell r="C1076" t="str">
            <v>07</v>
          </cell>
          <cell r="D1076" t="str">
            <v>00</v>
          </cell>
          <cell r="E1076" t="str">
            <v>000 00 00</v>
          </cell>
          <cell r="F1076" t="str">
            <v>000</v>
          </cell>
        </row>
        <row r="1077">
          <cell r="A1077" t="str">
            <v>ИТОГО:</v>
          </cell>
          <cell r="C1077" t="str">
            <v>07</v>
          </cell>
          <cell r="D1077" t="str">
            <v>00</v>
          </cell>
          <cell r="E1077" t="str">
            <v>000 00 00</v>
          </cell>
          <cell r="F1077" t="str">
            <v>000</v>
          </cell>
        </row>
        <row r="1078">
          <cell r="A1078" t="str">
            <v>Выполнение функций органами местного самоуправления</v>
          </cell>
          <cell r="B1078" t="str">
            <v>903</v>
          </cell>
          <cell r="C1078" t="str">
            <v>07</v>
          </cell>
          <cell r="D1078" t="str">
            <v>09</v>
          </cell>
          <cell r="E1078" t="str">
            <v>795 33 00</v>
          </cell>
          <cell r="F1078" t="str">
            <v>500</v>
          </cell>
        </row>
        <row r="1079">
          <cell r="A1079" t="str">
            <v>Культура и кинематография </v>
          </cell>
          <cell r="B1079" t="str">
            <v>905</v>
          </cell>
          <cell r="C1079" t="str">
            <v>08</v>
          </cell>
          <cell r="D1079" t="str">
            <v>00</v>
          </cell>
          <cell r="E1079" t="str">
            <v>000 00 00</v>
          </cell>
          <cell r="F1079" t="str">
            <v>000</v>
          </cell>
        </row>
        <row r="1080">
          <cell r="A1080" t="str">
            <v>Культура </v>
          </cell>
          <cell r="B1080" t="str">
            <v>905</v>
          </cell>
          <cell r="C1080" t="str">
            <v>08</v>
          </cell>
          <cell r="D1080" t="str">
            <v>01</v>
          </cell>
          <cell r="E1080" t="str">
            <v>000 00 00</v>
          </cell>
          <cell r="F1080" t="str">
            <v>000</v>
          </cell>
        </row>
        <row r="1081">
          <cell r="A1081" t="str">
            <v>Дворцы и дома культуры, другие учреждения культуры </v>
          </cell>
          <cell r="B1081" t="str">
            <v>905</v>
          </cell>
          <cell r="C1081" t="str">
            <v>08</v>
          </cell>
          <cell r="D1081" t="str">
            <v>01</v>
          </cell>
          <cell r="E1081" t="str">
            <v>440 00 00</v>
          </cell>
          <cell r="F1081" t="str">
            <v>000</v>
          </cell>
        </row>
        <row r="1082">
          <cell r="A1082" t="str">
            <v>Обеспечение деятельности подведомственных учреждений</v>
          </cell>
          <cell r="B1082" t="str">
            <v>905</v>
          </cell>
          <cell r="C1082" t="str">
            <v>08</v>
          </cell>
          <cell r="D1082" t="str">
            <v>01</v>
          </cell>
          <cell r="E1082" t="str">
            <v>440 99 00</v>
          </cell>
          <cell r="F1082" t="str">
            <v>000</v>
          </cell>
        </row>
        <row r="1083">
          <cell r="A1083" t="str">
            <v>Субсидии некоммерческим организациям</v>
          </cell>
          <cell r="B1083" t="str">
            <v>905</v>
          </cell>
          <cell r="C1083" t="str">
            <v>08</v>
          </cell>
          <cell r="D1083" t="str">
            <v>01</v>
          </cell>
          <cell r="E1083" t="str">
            <v>440 99 00</v>
          </cell>
          <cell r="F1083" t="str">
            <v>019</v>
          </cell>
        </row>
        <row r="1084">
          <cell r="A1084" t="str">
            <v>Расходы</v>
          </cell>
          <cell r="B1084" t="str">
            <v>905</v>
          </cell>
          <cell r="C1084" t="str">
            <v>08</v>
          </cell>
          <cell r="D1084" t="str">
            <v>01</v>
          </cell>
          <cell r="E1084" t="str">
            <v>440 99 00</v>
          </cell>
          <cell r="F1084" t="str">
            <v>001</v>
          </cell>
        </row>
        <row r="1085">
          <cell r="A1085" t="str">
            <v>Оплата труда и начисления на оплату труда</v>
          </cell>
          <cell r="B1085" t="str">
            <v>905</v>
          </cell>
          <cell r="C1085" t="str">
            <v>08</v>
          </cell>
          <cell r="D1085" t="str">
            <v>01</v>
          </cell>
          <cell r="E1085" t="str">
            <v>440 99 00</v>
          </cell>
          <cell r="F1085" t="str">
            <v>001</v>
          </cell>
        </row>
        <row r="1086">
          <cell r="A1086" t="str">
            <v>Заработная плата</v>
          </cell>
          <cell r="B1086" t="str">
            <v>905</v>
          </cell>
          <cell r="C1086" t="str">
            <v>08</v>
          </cell>
          <cell r="D1086" t="str">
            <v>01</v>
          </cell>
          <cell r="E1086" t="str">
            <v>440 99 00</v>
          </cell>
          <cell r="F1086" t="str">
            <v>001</v>
          </cell>
        </row>
        <row r="1087">
          <cell r="A1087" t="str">
            <v>Прочие выплаты</v>
          </cell>
          <cell r="B1087" t="str">
            <v>905</v>
          </cell>
          <cell r="C1087" t="str">
            <v>08</v>
          </cell>
          <cell r="D1087" t="str">
            <v>01</v>
          </cell>
          <cell r="E1087" t="str">
            <v>440 99 00</v>
          </cell>
          <cell r="F1087" t="str">
            <v>001</v>
          </cell>
        </row>
        <row r="1088">
          <cell r="A1088" t="str">
            <v>Начисление на оплату труда</v>
          </cell>
          <cell r="B1088" t="str">
            <v>905</v>
          </cell>
          <cell r="C1088" t="str">
            <v>08</v>
          </cell>
          <cell r="D1088" t="str">
            <v>01</v>
          </cell>
          <cell r="E1088" t="str">
            <v>440 99 00</v>
          </cell>
          <cell r="F1088" t="str">
            <v>001</v>
          </cell>
        </row>
        <row r="1089">
          <cell r="A1089" t="str">
            <v>Приобретение услуг</v>
          </cell>
          <cell r="B1089" t="str">
            <v>905</v>
          </cell>
          <cell r="C1089" t="str">
            <v>08</v>
          </cell>
          <cell r="D1089" t="str">
            <v>01</v>
          </cell>
          <cell r="E1089" t="str">
            <v>440 99 00</v>
          </cell>
          <cell r="F1089" t="str">
            <v>001</v>
          </cell>
        </row>
        <row r="1090">
          <cell r="A1090" t="str">
            <v>Услуги связи </v>
          </cell>
          <cell r="B1090" t="str">
            <v>905</v>
          </cell>
          <cell r="C1090" t="str">
            <v>08</v>
          </cell>
          <cell r="D1090" t="str">
            <v>01</v>
          </cell>
          <cell r="E1090" t="str">
            <v>440 99 00</v>
          </cell>
          <cell r="F1090" t="str">
            <v>001</v>
          </cell>
        </row>
        <row r="1091">
          <cell r="A1091" t="str">
            <v>Транспортные услуги</v>
          </cell>
          <cell r="B1091" t="str">
            <v>905</v>
          </cell>
          <cell r="C1091" t="str">
            <v>08</v>
          </cell>
          <cell r="D1091" t="str">
            <v>01</v>
          </cell>
          <cell r="E1091" t="str">
            <v>440 99 00</v>
          </cell>
          <cell r="F1091" t="str">
            <v>001</v>
          </cell>
        </row>
        <row r="1092">
          <cell r="A1092" t="str">
            <v>Коммунальные услуги</v>
          </cell>
          <cell r="B1092" t="str">
            <v>905</v>
          </cell>
          <cell r="C1092" t="str">
            <v>08</v>
          </cell>
          <cell r="D1092" t="str">
            <v>01</v>
          </cell>
          <cell r="E1092" t="str">
            <v>440 99 00</v>
          </cell>
          <cell r="F1092" t="str">
            <v>001</v>
          </cell>
        </row>
        <row r="1093">
          <cell r="A1093" t="str">
            <v>Арендная плата за пользование иммуществом </v>
          </cell>
          <cell r="B1093" t="str">
            <v>905</v>
          </cell>
          <cell r="C1093" t="str">
            <v>08</v>
          </cell>
          <cell r="D1093" t="str">
            <v>01</v>
          </cell>
          <cell r="E1093" t="str">
            <v>440 99 00</v>
          </cell>
          <cell r="F1093" t="str">
            <v>001</v>
          </cell>
        </row>
        <row r="1094">
          <cell r="A1094" t="str">
            <v>Услуги по содержанию имущества</v>
          </cell>
          <cell r="B1094" t="str">
            <v>905</v>
          </cell>
          <cell r="C1094" t="str">
            <v>08</v>
          </cell>
          <cell r="D1094" t="str">
            <v>01</v>
          </cell>
          <cell r="E1094" t="str">
            <v>440 99 00</v>
          </cell>
          <cell r="F1094" t="str">
            <v>001</v>
          </cell>
        </row>
        <row r="1095">
          <cell r="A1095" t="str">
            <v>Услуги по содержанию имущества 8,40,00</v>
          </cell>
          <cell r="B1095" t="str">
            <v>905</v>
          </cell>
          <cell r="C1095" t="str">
            <v>08</v>
          </cell>
          <cell r="D1095" t="str">
            <v>01</v>
          </cell>
          <cell r="E1095" t="str">
            <v>440 99 00</v>
          </cell>
          <cell r="F1095" t="str">
            <v>001</v>
          </cell>
        </row>
        <row r="1096">
          <cell r="A1096" t="str">
            <v>Услуги по содержанию имущества 8,40,01</v>
          </cell>
          <cell r="B1096" t="str">
            <v>905</v>
          </cell>
          <cell r="C1096" t="str">
            <v>08</v>
          </cell>
          <cell r="D1096" t="str">
            <v>01</v>
          </cell>
          <cell r="E1096" t="str">
            <v>440 99 00</v>
          </cell>
          <cell r="F1096" t="str">
            <v>001</v>
          </cell>
        </row>
        <row r="1097">
          <cell r="A1097" t="str">
            <v>Прочие услуги</v>
          </cell>
          <cell r="B1097" t="str">
            <v>905</v>
          </cell>
          <cell r="C1097" t="str">
            <v>08</v>
          </cell>
          <cell r="D1097" t="str">
            <v>01</v>
          </cell>
          <cell r="E1097" t="str">
            <v>440 99 00</v>
          </cell>
          <cell r="F1097" t="str">
            <v>001</v>
          </cell>
        </row>
        <row r="1098">
          <cell r="A1098" t="str">
            <v>Прочие расходы </v>
          </cell>
          <cell r="B1098" t="str">
            <v>905</v>
          </cell>
          <cell r="C1098" t="str">
            <v>08</v>
          </cell>
          <cell r="D1098" t="str">
            <v>01</v>
          </cell>
          <cell r="E1098" t="str">
            <v>440 99 00</v>
          </cell>
          <cell r="F1098" t="str">
            <v>001</v>
          </cell>
        </row>
        <row r="1099">
          <cell r="A1099" t="str">
            <v>Поступление нефинансовых активов</v>
          </cell>
          <cell r="B1099" t="str">
            <v>905</v>
          </cell>
          <cell r="C1099" t="str">
            <v>08</v>
          </cell>
          <cell r="D1099" t="str">
            <v>01</v>
          </cell>
          <cell r="E1099" t="str">
            <v>440 99 00</v>
          </cell>
          <cell r="F1099" t="str">
            <v>001</v>
          </cell>
        </row>
        <row r="1100">
          <cell r="A1100" t="str">
            <v>Увеличение стоимости основных средств</v>
          </cell>
          <cell r="B1100" t="str">
            <v>905</v>
          </cell>
          <cell r="C1100" t="str">
            <v>08</v>
          </cell>
          <cell r="D1100" t="str">
            <v>01</v>
          </cell>
          <cell r="E1100" t="str">
            <v>440 99 00</v>
          </cell>
          <cell r="F1100" t="str">
            <v>001</v>
          </cell>
        </row>
        <row r="1101">
          <cell r="A1101" t="str">
            <v>Увеличение стоимости материальных запасов</v>
          </cell>
          <cell r="B1101" t="str">
            <v>905</v>
          </cell>
          <cell r="C1101" t="str">
            <v>08</v>
          </cell>
          <cell r="D1101" t="str">
            <v>01</v>
          </cell>
          <cell r="E1101" t="str">
            <v>440 99 00</v>
          </cell>
          <cell r="F1101" t="str">
            <v>001</v>
          </cell>
        </row>
        <row r="1102">
          <cell r="A1102" t="str">
            <v>Увеличение стоимости материальных запасов 8,40,01</v>
          </cell>
          <cell r="B1102" t="str">
            <v>905</v>
          </cell>
          <cell r="C1102" t="str">
            <v>08</v>
          </cell>
          <cell r="D1102" t="str">
            <v>01</v>
          </cell>
          <cell r="E1102" t="str">
            <v>441 99 00</v>
          </cell>
          <cell r="F1102" t="str">
            <v>001</v>
          </cell>
        </row>
        <row r="1103">
          <cell r="A1103" t="str">
            <v>8,40,02</v>
          </cell>
          <cell r="B1103" t="str">
            <v>905</v>
          </cell>
          <cell r="C1103" t="str">
            <v>08</v>
          </cell>
          <cell r="D1103" t="str">
            <v>01</v>
          </cell>
          <cell r="E1103" t="str">
            <v>440 99 00</v>
          </cell>
          <cell r="F1103" t="str">
            <v>001</v>
          </cell>
        </row>
        <row r="1104">
          <cell r="A1104" t="str">
            <v>Долгосрочная целевая программа Иркутской области «100 модельных домов культуры Приангарью» на 2011-2014 годы</v>
          </cell>
          <cell r="B1104" t="str">
            <v>905</v>
          </cell>
          <cell r="C1104" t="str">
            <v>08</v>
          </cell>
          <cell r="D1104" t="str">
            <v>01</v>
          </cell>
          <cell r="E1104" t="str">
            <v>522 55 00</v>
          </cell>
          <cell r="F1104" t="str">
            <v>000</v>
          </cell>
        </row>
        <row r="1105">
          <cell r="A1105" t="str">
            <v>Выполнение функций бюджетными учреждениями ОБ</v>
          </cell>
          <cell r="B1105" t="str">
            <v>905</v>
          </cell>
          <cell r="C1105" t="str">
            <v>08</v>
          </cell>
          <cell r="D1105" t="str">
            <v>01</v>
          </cell>
          <cell r="E1105" t="str">
            <v>522 55 00</v>
          </cell>
          <cell r="F1105" t="str">
            <v>010</v>
          </cell>
        </row>
        <row r="1106">
          <cell r="A1106" t="str">
            <v>Софинансирование программы "100 модельных домов культуры Приангарью" (Доп.ЭК 8.70.08.00)</v>
          </cell>
          <cell r="B1106" t="str">
            <v>905</v>
          </cell>
          <cell r="C1106" t="str">
            <v>08</v>
          </cell>
          <cell r="D1106" t="str">
            <v>01</v>
          </cell>
          <cell r="E1106" t="str">
            <v>440 99 00</v>
          </cell>
          <cell r="F1106" t="str">
            <v>019</v>
          </cell>
        </row>
        <row r="1107">
          <cell r="A1107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107" t="str">
            <v>905</v>
          </cell>
          <cell r="C1107" t="str">
            <v>08</v>
          </cell>
          <cell r="D1107" t="str">
            <v>01</v>
          </cell>
          <cell r="E1107" t="str">
            <v>590 00 00</v>
          </cell>
          <cell r="F1107" t="str">
            <v>000</v>
          </cell>
        </row>
        <row r="1108">
          <cell r="A1108" t="str">
            <v>Субсидии некоммерческим организациям</v>
          </cell>
          <cell r="B1108" t="str">
            <v>905</v>
          </cell>
          <cell r="C1108" t="str">
            <v>08</v>
          </cell>
          <cell r="D1108" t="str">
            <v>01</v>
          </cell>
          <cell r="E1108" t="str">
            <v>590 00 00</v>
          </cell>
          <cell r="F1108" t="str">
            <v>019</v>
          </cell>
        </row>
        <row r="1109">
          <cell r="A1109" t="str">
            <v>Библиотеки</v>
          </cell>
          <cell r="B1109" t="str">
            <v>905</v>
          </cell>
          <cell r="C1109" t="str">
            <v>08</v>
          </cell>
          <cell r="D1109" t="str">
            <v>01</v>
          </cell>
          <cell r="E1109" t="str">
            <v>442 00 00</v>
          </cell>
          <cell r="F1109" t="str">
            <v>000</v>
          </cell>
        </row>
        <row r="1110">
          <cell r="A1110" t="str">
            <v>Обеспечение деятельности подведомственных учреждений</v>
          </cell>
          <cell r="B1110" t="str">
            <v>905</v>
          </cell>
          <cell r="C1110" t="str">
            <v>08</v>
          </cell>
          <cell r="D1110" t="str">
            <v>01</v>
          </cell>
          <cell r="E1110" t="str">
            <v>442 99 00</v>
          </cell>
          <cell r="F1110" t="str">
            <v>000</v>
          </cell>
        </row>
        <row r="1111">
          <cell r="A1111" t="str">
            <v>Субсидии некоммерческим организациям</v>
          </cell>
          <cell r="B1111" t="str">
            <v>905</v>
          </cell>
          <cell r="C1111" t="str">
            <v>08</v>
          </cell>
          <cell r="D1111" t="str">
            <v>01</v>
          </cell>
          <cell r="E1111" t="str">
            <v>442 99 00</v>
          </cell>
          <cell r="F1111" t="str">
            <v>019</v>
          </cell>
        </row>
        <row r="1112">
          <cell r="A1112" t="str">
            <v>Расходы</v>
          </cell>
          <cell r="B1112" t="str">
            <v>905</v>
          </cell>
          <cell r="C1112" t="str">
            <v>08</v>
          </cell>
          <cell r="D1112" t="str">
            <v>01</v>
          </cell>
          <cell r="E1112" t="str">
            <v>442 99 00</v>
          </cell>
          <cell r="F1112" t="str">
            <v>001</v>
          </cell>
        </row>
        <row r="1113">
          <cell r="A1113" t="str">
            <v>Оплата труда и начисления на оплату труда</v>
          </cell>
          <cell r="B1113" t="str">
            <v>905</v>
          </cell>
          <cell r="C1113" t="str">
            <v>08</v>
          </cell>
          <cell r="D1113" t="str">
            <v>01</v>
          </cell>
          <cell r="E1113" t="str">
            <v>442 99 00</v>
          </cell>
          <cell r="F1113" t="str">
            <v>001</v>
          </cell>
        </row>
        <row r="1114">
          <cell r="A1114" t="str">
            <v>Заработная плата</v>
          </cell>
          <cell r="B1114" t="str">
            <v>905</v>
          </cell>
          <cell r="C1114" t="str">
            <v>08</v>
          </cell>
          <cell r="D1114" t="str">
            <v>01</v>
          </cell>
          <cell r="E1114" t="str">
            <v>442 99 00</v>
          </cell>
          <cell r="F1114" t="str">
            <v>001</v>
          </cell>
        </row>
        <row r="1115">
          <cell r="A1115" t="str">
            <v>Прочие выплаты</v>
          </cell>
          <cell r="B1115" t="str">
            <v>905</v>
          </cell>
          <cell r="C1115" t="str">
            <v>08</v>
          </cell>
          <cell r="D1115" t="str">
            <v>01</v>
          </cell>
          <cell r="E1115" t="str">
            <v>442 99 00</v>
          </cell>
          <cell r="F1115" t="str">
            <v>001</v>
          </cell>
        </row>
        <row r="1116">
          <cell r="A1116" t="str">
            <v>Начисление на оплату труда</v>
          </cell>
          <cell r="B1116" t="str">
            <v>905</v>
          </cell>
          <cell r="C1116" t="str">
            <v>08</v>
          </cell>
          <cell r="D1116" t="str">
            <v>01</v>
          </cell>
          <cell r="E1116" t="str">
            <v>442 99 00</v>
          </cell>
          <cell r="F1116" t="str">
            <v>001</v>
          </cell>
        </row>
        <row r="1117">
          <cell r="A1117" t="str">
            <v>Приобретение услуг</v>
          </cell>
          <cell r="B1117" t="str">
            <v>905</v>
          </cell>
          <cell r="C1117" t="str">
            <v>08</v>
          </cell>
          <cell r="D1117" t="str">
            <v>01</v>
          </cell>
          <cell r="E1117" t="str">
            <v>442 99 00</v>
          </cell>
          <cell r="F1117" t="str">
            <v>001</v>
          </cell>
        </row>
        <row r="1118">
          <cell r="A1118" t="str">
            <v>Услуги связи </v>
          </cell>
          <cell r="B1118" t="str">
            <v>905</v>
          </cell>
          <cell r="C1118" t="str">
            <v>08</v>
          </cell>
          <cell r="D1118" t="str">
            <v>01</v>
          </cell>
          <cell r="E1118" t="str">
            <v>442 99 00</v>
          </cell>
          <cell r="F1118" t="str">
            <v>001</v>
          </cell>
        </row>
        <row r="1119">
          <cell r="A1119" t="str">
            <v>Транспортные услуги</v>
          </cell>
          <cell r="B1119" t="str">
            <v>905</v>
          </cell>
          <cell r="C1119" t="str">
            <v>08</v>
          </cell>
          <cell r="D1119" t="str">
            <v>01</v>
          </cell>
          <cell r="E1119" t="str">
            <v>442 99 00</v>
          </cell>
          <cell r="F1119" t="str">
            <v>001</v>
          </cell>
        </row>
        <row r="1120">
          <cell r="A1120" t="str">
            <v>Коммунальные услуги</v>
          </cell>
          <cell r="B1120" t="str">
            <v>905</v>
          </cell>
          <cell r="C1120" t="str">
            <v>08</v>
          </cell>
          <cell r="D1120" t="str">
            <v>01</v>
          </cell>
          <cell r="E1120" t="str">
            <v>442 99 00</v>
          </cell>
          <cell r="F1120" t="str">
            <v>001</v>
          </cell>
        </row>
        <row r="1121">
          <cell r="A1121" t="str">
            <v>Арендная плата за пользование иммуществом </v>
          </cell>
          <cell r="B1121" t="str">
            <v>905</v>
          </cell>
          <cell r="C1121" t="str">
            <v>08</v>
          </cell>
          <cell r="D1121" t="str">
            <v>01</v>
          </cell>
          <cell r="E1121" t="str">
            <v>442 99 00</v>
          </cell>
          <cell r="F1121" t="str">
            <v>001</v>
          </cell>
        </row>
        <row r="1122">
          <cell r="A1122" t="str">
            <v>Услуги по содержанию иммущества</v>
          </cell>
          <cell r="B1122" t="str">
            <v>905</v>
          </cell>
          <cell r="C1122" t="str">
            <v>08</v>
          </cell>
          <cell r="D1122" t="str">
            <v>01</v>
          </cell>
          <cell r="E1122" t="str">
            <v>442 99 00</v>
          </cell>
          <cell r="F1122" t="str">
            <v>001</v>
          </cell>
        </row>
        <row r="1123">
          <cell r="A1123" t="str">
            <v>Услуги по содержанию иммущества 8,40,00</v>
          </cell>
          <cell r="B1123" t="str">
            <v>905</v>
          </cell>
          <cell r="C1123" t="str">
            <v>08</v>
          </cell>
          <cell r="D1123" t="str">
            <v>01</v>
          </cell>
          <cell r="E1123" t="str">
            <v>442 99 00</v>
          </cell>
          <cell r="F1123" t="str">
            <v>001</v>
          </cell>
        </row>
        <row r="1124">
          <cell r="A1124" t="str">
            <v>Услуги по содержанию иммущества 8,40,01</v>
          </cell>
          <cell r="B1124" t="str">
            <v>905</v>
          </cell>
          <cell r="C1124" t="str">
            <v>08</v>
          </cell>
          <cell r="D1124" t="str">
            <v>01</v>
          </cell>
          <cell r="E1124" t="str">
            <v>442 99 00</v>
          </cell>
          <cell r="F1124" t="str">
            <v>001</v>
          </cell>
        </row>
        <row r="1125">
          <cell r="A1125" t="str">
            <v>Прочие услуги</v>
          </cell>
          <cell r="B1125" t="str">
            <v>905</v>
          </cell>
          <cell r="C1125" t="str">
            <v>08</v>
          </cell>
          <cell r="D1125" t="str">
            <v>01</v>
          </cell>
          <cell r="E1125" t="str">
            <v>442 99 00</v>
          </cell>
          <cell r="F1125" t="str">
            <v>001</v>
          </cell>
        </row>
        <row r="1126">
          <cell r="A1126" t="str">
            <v>Прочие расходы </v>
          </cell>
          <cell r="B1126" t="str">
            <v>905</v>
          </cell>
          <cell r="C1126" t="str">
            <v>08</v>
          </cell>
          <cell r="D1126" t="str">
            <v>01</v>
          </cell>
          <cell r="E1126" t="str">
            <v>442 99 00</v>
          </cell>
          <cell r="F1126" t="str">
            <v>001</v>
          </cell>
        </row>
        <row r="1127">
          <cell r="A1127" t="str">
            <v>Поступление нефинансовых активов</v>
          </cell>
          <cell r="B1127" t="str">
            <v>905</v>
          </cell>
          <cell r="C1127" t="str">
            <v>08</v>
          </cell>
          <cell r="D1127" t="str">
            <v>01</v>
          </cell>
          <cell r="E1127" t="str">
            <v>442 99 00</v>
          </cell>
          <cell r="F1127" t="str">
            <v>001</v>
          </cell>
        </row>
        <row r="1128">
          <cell r="A1128" t="str">
            <v>Увеличение стоимости основных средств</v>
          </cell>
          <cell r="B1128" t="str">
            <v>905</v>
          </cell>
          <cell r="C1128" t="str">
            <v>08</v>
          </cell>
          <cell r="D1128" t="str">
            <v>01</v>
          </cell>
          <cell r="E1128" t="str">
            <v>442 99 00</v>
          </cell>
          <cell r="F1128" t="str">
            <v>001</v>
          </cell>
        </row>
        <row r="1129">
          <cell r="A1129" t="str">
            <v>Увеличение стоимости материальных запасов</v>
          </cell>
          <cell r="B1129" t="str">
            <v>905</v>
          </cell>
          <cell r="C1129" t="str">
            <v>08</v>
          </cell>
          <cell r="D1129" t="str">
            <v>01</v>
          </cell>
          <cell r="E1129" t="str">
            <v>442 99 00</v>
          </cell>
          <cell r="F1129" t="str">
            <v>001</v>
          </cell>
        </row>
        <row r="1130">
          <cell r="A1130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130" t="str">
            <v>905</v>
          </cell>
          <cell r="C1130" t="str">
            <v>08</v>
          </cell>
          <cell r="D1130" t="str">
            <v>01</v>
          </cell>
          <cell r="E1130" t="str">
            <v>590 00 00</v>
          </cell>
          <cell r="F1130" t="str">
            <v>000</v>
          </cell>
        </row>
        <row r="1131">
          <cell r="A1131" t="str">
            <v>Субсидии некоммерческим организациям</v>
          </cell>
          <cell r="B1131" t="str">
            <v>905</v>
          </cell>
          <cell r="C1131" t="str">
            <v>08</v>
          </cell>
          <cell r="D1131" t="str">
            <v>01</v>
          </cell>
          <cell r="E1131" t="str">
            <v>590 00 00</v>
          </cell>
          <cell r="F1131" t="str">
            <v>019</v>
          </cell>
        </row>
        <row r="1132">
          <cell r="A1132" t="str">
            <v>Мероприятия в сфере культуры, кинематографии </v>
          </cell>
          <cell r="B1132" t="str">
            <v>905</v>
          </cell>
          <cell r="C1132" t="str">
            <v>08</v>
          </cell>
          <cell r="D1132" t="str">
            <v>01</v>
          </cell>
          <cell r="E1132" t="str">
            <v>440 00 00</v>
          </cell>
          <cell r="F1132" t="str">
            <v>000</v>
          </cell>
        </row>
        <row r="1133">
          <cell r="A1133" t="str">
            <v>Комплектование книжных фондов библиотек
муниципальных образований и государственных библиотек ФБ
городов Москвы и Санкт-Петербурга за счет средств федерального бюджета</v>
          </cell>
          <cell r="B1133" t="str">
            <v>905</v>
          </cell>
          <cell r="C1133" t="str">
            <v>08</v>
          </cell>
          <cell r="D1133" t="str">
            <v>01</v>
          </cell>
          <cell r="E1133" t="str">
            <v>440 02 01</v>
          </cell>
          <cell r="F1133" t="str">
            <v>000</v>
          </cell>
        </row>
        <row r="1134">
          <cell r="A1134" t="str">
            <v>Иные межбюджетные трансферты</v>
          </cell>
          <cell r="B1134" t="str">
            <v>905</v>
          </cell>
          <cell r="C1134" t="str">
            <v>08</v>
          </cell>
          <cell r="D1134" t="str">
            <v>01</v>
          </cell>
          <cell r="E1134" t="str">
            <v>440 02 01</v>
          </cell>
          <cell r="F1134" t="str">
            <v>017</v>
          </cell>
        </row>
        <row r="1135">
          <cell r="A1135" t="str">
            <v>Поступление нефинансовых активов</v>
          </cell>
          <cell r="B1135">
            <v>905</v>
          </cell>
          <cell r="C1135" t="str">
            <v>08</v>
          </cell>
          <cell r="D1135" t="str">
            <v>01</v>
          </cell>
          <cell r="E1135" t="str">
            <v>440 02 01</v>
          </cell>
          <cell r="F1135" t="str">
            <v>001</v>
          </cell>
        </row>
        <row r="1136">
          <cell r="A1136" t="str">
            <v>Увеличение стоимости основных средств</v>
          </cell>
          <cell r="B1136">
            <v>905</v>
          </cell>
          <cell r="C1136" t="str">
            <v>08</v>
          </cell>
          <cell r="D1136" t="str">
            <v>01</v>
          </cell>
          <cell r="E1136" t="str">
            <v>440 02 01</v>
          </cell>
          <cell r="F1136" t="str">
            <v>001</v>
          </cell>
        </row>
        <row r="1137">
          <cell r="A1137" t="str">
            <v>Увеличение стоимости материальных запасов</v>
          </cell>
          <cell r="B1137">
            <v>905</v>
          </cell>
          <cell r="C1137" t="str">
            <v>08</v>
          </cell>
          <cell r="D1137" t="str">
            <v>01</v>
          </cell>
          <cell r="E1137" t="str">
            <v>440 02 01</v>
          </cell>
          <cell r="F1137" t="str">
            <v>001</v>
          </cell>
        </row>
        <row r="1138">
          <cell r="A1138" t="str">
            <v>Государственная поддержка в сфере культуры, кинематографии и средств массовой информации</v>
          </cell>
          <cell r="B1138" t="str">
            <v>905</v>
          </cell>
          <cell r="C1138" t="str">
            <v>08</v>
          </cell>
          <cell r="D1138" t="str">
            <v>01</v>
          </cell>
          <cell r="E1138" t="str">
            <v>440 02 01</v>
          </cell>
          <cell r="F1138" t="str">
            <v>000</v>
          </cell>
        </row>
        <row r="1139">
          <cell r="A1139" t="str">
            <v>Выполнение функций бюджетными учреждениями</v>
          </cell>
          <cell r="B1139" t="str">
            <v>905</v>
          </cell>
          <cell r="C1139" t="str">
            <v>08</v>
          </cell>
          <cell r="D1139" t="str">
            <v>01</v>
          </cell>
          <cell r="E1139" t="str">
            <v>440 02 01</v>
          </cell>
          <cell r="F1139" t="str">
            <v>001</v>
          </cell>
        </row>
        <row r="1140">
          <cell r="A1140" t="str">
            <v>Расходы</v>
          </cell>
          <cell r="B1140" t="str">
            <v>905</v>
          </cell>
          <cell r="C1140" t="str">
            <v>08</v>
          </cell>
          <cell r="D1140" t="str">
            <v>01</v>
          </cell>
          <cell r="E1140" t="str">
            <v>440 02 01</v>
          </cell>
          <cell r="F1140" t="str">
            <v>001</v>
          </cell>
        </row>
        <row r="1141">
          <cell r="A1141" t="str">
            <v>Приобретение услуг</v>
          </cell>
          <cell r="B1141" t="str">
            <v>905</v>
          </cell>
          <cell r="C1141" t="str">
            <v>08</v>
          </cell>
          <cell r="D1141" t="str">
            <v>01</v>
          </cell>
          <cell r="E1141" t="str">
            <v>440 02 01</v>
          </cell>
          <cell r="F1141" t="str">
            <v>001</v>
          </cell>
        </row>
        <row r="1142">
          <cell r="A1142" t="str">
            <v>Услуги по содержанию иммущества</v>
          </cell>
          <cell r="B1142" t="str">
            <v>905</v>
          </cell>
          <cell r="C1142" t="str">
            <v>08</v>
          </cell>
          <cell r="D1142" t="str">
            <v>01</v>
          </cell>
          <cell r="E1142" t="str">
            <v>440 02 01</v>
          </cell>
          <cell r="F1142" t="str">
            <v>001</v>
          </cell>
        </row>
        <row r="1143">
          <cell r="A1143" t="str">
            <v>Прочие услуги </v>
          </cell>
          <cell r="B1143" t="str">
            <v>905</v>
          </cell>
          <cell r="C1143" t="str">
            <v>08</v>
          </cell>
          <cell r="D1143" t="str">
            <v>01</v>
          </cell>
          <cell r="E1143" t="str">
            <v>440 02 01</v>
          </cell>
          <cell r="F1143" t="str">
            <v>001</v>
          </cell>
        </row>
        <row r="1144">
          <cell r="A1144" t="str">
            <v>Поступление нефинансовых активов</v>
          </cell>
          <cell r="B1144" t="str">
            <v>905</v>
          </cell>
          <cell r="C1144" t="str">
            <v>08</v>
          </cell>
          <cell r="D1144" t="str">
            <v>01</v>
          </cell>
          <cell r="E1144" t="str">
            <v>440 02 01</v>
          </cell>
          <cell r="F1144" t="str">
            <v>001</v>
          </cell>
        </row>
        <row r="1145">
          <cell r="A1145" t="str">
            <v>Увеличение стоимости основных средств</v>
          </cell>
          <cell r="B1145" t="str">
            <v>905</v>
          </cell>
          <cell r="C1145" t="str">
            <v>08</v>
          </cell>
          <cell r="D1145" t="str">
            <v>01</v>
          </cell>
          <cell r="E1145" t="str">
            <v>440 02 01</v>
          </cell>
          <cell r="F1145" t="str">
            <v>001</v>
          </cell>
        </row>
        <row r="1146">
          <cell r="A1146" t="str">
            <v>Увеличение стоимости материальных запасов</v>
          </cell>
          <cell r="B1146" t="str">
            <v>905</v>
          </cell>
          <cell r="C1146" t="str">
            <v>08</v>
          </cell>
          <cell r="D1146" t="str">
            <v>01</v>
          </cell>
          <cell r="E1146" t="str">
            <v>440 02 01</v>
          </cell>
          <cell r="F1146" t="str">
            <v>001</v>
          </cell>
        </row>
        <row r="1147">
          <cell r="A1147" t="str">
            <v>Учебно-методические кабинеты, центральные бухгалтерии, группы хоз.обслуживания, учебные фильмотеки</v>
          </cell>
          <cell r="B1147" t="str">
            <v>905</v>
          </cell>
          <cell r="C1147" t="str">
            <v>08</v>
          </cell>
          <cell r="D1147" t="str">
            <v>01</v>
          </cell>
          <cell r="E1147" t="str">
            <v>440 02 01</v>
          </cell>
          <cell r="F1147" t="str">
            <v>000</v>
          </cell>
        </row>
        <row r="1148">
          <cell r="A1148" t="str">
            <v>Обеспечение деятельности подведомственных учреждений</v>
          </cell>
          <cell r="B1148" t="str">
            <v>905</v>
          </cell>
          <cell r="C1148" t="str">
            <v>08</v>
          </cell>
          <cell r="D1148" t="str">
            <v>01</v>
          </cell>
          <cell r="E1148" t="str">
            <v>440 02 01</v>
          </cell>
          <cell r="F1148" t="str">
            <v>327</v>
          </cell>
        </row>
        <row r="1149">
          <cell r="A1149" t="str">
            <v>Оплата труда и начисления на оплату труда</v>
          </cell>
          <cell r="B1149" t="str">
            <v>905</v>
          </cell>
          <cell r="C1149" t="str">
            <v>08</v>
          </cell>
          <cell r="D1149" t="str">
            <v>01</v>
          </cell>
          <cell r="E1149" t="str">
            <v>440 02 01</v>
          </cell>
          <cell r="F1149" t="str">
            <v>327</v>
          </cell>
        </row>
        <row r="1150">
          <cell r="A1150" t="str">
            <v>Заработная плата</v>
          </cell>
          <cell r="B1150" t="str">
            <v>905</v>
          </cell>
          <cell r="C1150" t="str">
            <v>08</v>
          </cell>
          <cell r="D1150" t="str">
            <v>01</v>
          </cell>
          <cell r="E1150" t="str">
            <v>440 02 01</v>
          </cell>
          <cell r="F1150" t="str">
            <v>327</v>
          </cell>
        </row>
        <row r="1151">
          <cell r="A1151" t="str">
            <v>Прочие выплаты</v>
          </cell>
          <cell r="B1151" t="str">
            <v>905</v>
          </cell>
          <cell r="C1151" t="str">
            <v>08</v>
          </cell>
          <cell r="D1151" t="str">
            <v>01</v>
          </cell>
          <cell r="E1151" t="str">
            <v>440 02 01</v>
          </cell>
          <cell r="F1151" t="str">
            <v>327</v>
          </cell>
        </row>
        <row r="1152">
          <cell r="A1152" t="str">
            <v>Начисление на оплату труда</v>
          </cell>
          <cell r="B1152" t="str">
            <v>905</v>
          </cell>
          <cell r="C1152" t="str">
            <v>08</v>
          </cell>
          <cell r="D1152" t="str">
            <v>01</v>
          </cell>
          <cell r="E1152" t="str">
            <v>440 02 01</v>
          </cell>
          <cell r="F1152" t="str">
            <v>327</v>
          </cell>
        </row>
        <row r="1153">
          <cell r="A1153" t="str">
            <v>Приобретение услуг</v>
          </cell>
          <cell r="B1153" t="str">
            <v>905</v>
          </cell>
          <cell r="C1153" t="str">
            <v>08</v>
          </cell>
          <cell r="D1153" t="str">
            <v>01</v>
          </cell>
          <cell r="E1153" t="str">
            <v>440 02 01</v>
          </cell>
          <cell r="F1153" t="str">
            <v>327</v>
          </cell>
        </row>
        <row r="1154">
          <cell r="A1154" t="str">
            <v>Услуги связи </v>
          </cell>
          <cell r="B1154" t="str">
            <v>905</v>
          </cell>
          <cell r="C1154" t="str">
            <v>08</v>
          </cell>
          <cell r="D1154" t="str">
            <v>01</v>
          </cell>
          <cell r="E1154" t="str">
            <v>440 02 01</v>
          </cell>
          <cell r="F1154" t="str">
            <v>327</v>
          </cell>
        </row>
        <row r="1155">
          <cell r="A1155" t="str">
            <v>Транспортные услуги</v>
          </cell>
          <cell r="B1155" t="str">
            <v>905</v>
          </cell>
          <cell r="C1155" t="str">
            <v>08</v>
          </cell>
          <cell r="D1155" t="str">
            <v>01</v>
          </cell>
          <cell r="E1155" t="str">
            <v>440 02 01</v>
          </cell>
          <cell r="F1155" t="str">
            <v>327</v>
          </cell>
        </row>
        <row r="1156">
          <cell r="A1156" t="str">
            <v>Коммунальные услуги</v>
          </cell>
          <cell r="B1156" t="str">
            <v>905</v>
          </cell>
          <cell r="C1156" t="str">
            <v>08</v>
          </cell>
          <cell r="D1156" t="str">
            <v>01</v>
          </cell>
          <cell r="E1156" t="str">
            <v>440 02 01</v>
          </cell>
          <cell r="F1156" t="str">
            <v>327</v>
          </cell>
        </row>
        <row r="1157">
          <cell r="A1157" t="str">
            <v>Арендная плата за пользование иммуществом </v>
          </cell>
          <cell r="B1157" t="str">
            <v>905</v>
          </cell>
          <cell r="C1157" t="str">
            <v>08</v>
          </cell>
          <cell r="D1157" t="str">
            <v>01</v>
          </cell>
          <cell r="E1157" t="str">
            <v>440 02 01</v>
          </cell>
          <cell r="F1157" t="str">
            <v>327</v>
          </cell>
        </row>
        <row r="1158">
          <cell r="A1158" t="str">
            <v>Услуги по содержанию иммущества</v>
          </cell>
          <cell r="B1158" t="str">
            <v>905</v>
          </cell>
          <cell r="C1158" t="str">
            <v>08</v>
          </cell>
          <cell r="D1158" t="str">
            <v>01</v>
          </cell>
          <cell r="E1158" t="str">
            <v>440 02 01</v>
          </cell>
          <cell r="F1158" t="str">
            <v>327</v>
          </cell>
        </row>
        <row r="1159">
          <cell r="A1159" t="str">
            <v>Прочие услуги</v>
          </cell>
          <cell r="B1159" t="str">
            <v>905</v>
          </cell>
          <cell r="C1159" t="str">
            <v>08</v>
          </cell>
          <cell r="D1159" t="str">
            <v>01</v>
          </cell>
          <cell r="E1159" t="str">
            <v>440 02 01</v>
          </cell>
          <cell r="F1159" t="str">
            <v>327</v>
          </cell>
        </row>
        <row r="1160">
          <cell r="A1160" t="str">
            <v>Прочие расходы </v>
          </cell>
          <cell r="B1160" t="str">
            <v>905</v>
          </cell>
          <cell r="C1160" t="str">
            <v>08</v>
          </cell>
          <cell r="D1160" t="str">
            <v>01</v>
          </cell>
          <cell r="E1160" t="str">
            <v>440 02 01</v>
          </cell>
          <cell r="F1160" t="str">
            <v>327</v>
          </cell>
        </row>
        <row r="1161">
          <cell r="A1161" t="str">
            <v>Поступление нефинансовых активов</v>
          </cell>
          <cell r="B1161" t="str">
            <v>905</v>
          </cell>
          <cell r="C1161" t="str">
            <v>08</v>
          </cell>
          <cell r="D1161" t="str">
            <v>01</v>
          </cell>
          <cell r="E1161" t="str">
            <v>440 02 01</v>
          </cell>
          <cell r="F1161" t="str">
            <v>327</v>
          </cell>
        </row>
        <row r="1162">
          <cell r="A1162" t="str">
            <v>Увеличение стоимости основных средств</v>
          </cell>
          <cell r="B1162" t="str">
            <v>905</v>
          </cell>
          <cell r="C1162" t="str">
            <v>08</v>
          </cell>
          <cell r="D1162" t="str">
            <v>01</v>
          </cell>
          <cell r="E1162" t="str">
            <v>440 02 01</v>
          </cell>
          <cell r="F1162" t="str">
            <v>327</v>
          </cell>
        </row>
        <row r="1163">
          <cell r="A1163" t="str">
            <v>Увеличение стоимости материальных запасов</v>
          </cell>
          <cell r="B1163" t="str">
            <v>905</v>
          </cell>
          <cell r="C1163" t="str">
            <v>08</v>
          </cell>
          <cell r="D1163" t="str">
            <v>01</v>
          </cell>
          <cell r="E1163" t="str">
            <v>440 02 01</v>
          </cell>
          <cell r="F1163" t="str">
            <v>327</v>
          </cell>
        </row>
        <row r="1164">
          <cell r="A1164" t="str">
            <v>Региональные целевые программы</v>
          </cell>
          <cell r="B1164" t="str">
            <v>905</v>
          </cell>
          <cell r="C1164" t="str">
            <v>08</v>
          </cell>
          <cell r="D1164" t="str">
            <v>01</v>
          </cell>
          <cell r="E1164" t="str">
            <v>440 02 01</v>
          </cell>
          <cell r="F1164" t="str">
            <v>000</v>
          </cell>
        </row>
        <row r="1165">
          <cell r="A1165" t="str">
            <v>Государственная поддержка в сфере культуры, кинематографии и средств массовой информации </v>
          </cell>
          <cell r="B1165" t="str">
            <v>905</v>
          </cell>
          <cell r="C1165" t="str">
            <v>08</v>
          </cell>
          <cell r="D1165" t="str">
            <v>01</v>
          </cell>
          <cell r="E1165" t="str">
            <v>440 02 01</v>
          </cell>
          <cell r="F1165" t="str">
            <v>453</v>
          </cell>
        </row>
        <row r="1166">
          <cell r="A1166" t="str">
            <v>Прочие расходы </v>
          </cell>
          <cell r="B1166" t="str">
            <v>905</v>
          </cell>
          <cell r="C1166" t="str">
            <v>08</v>
          </cell>
          <cell r="D1166" t="str">
            <v>01</v>
          </cell>
          <cell r="E1166" t="str">
            <v>440 02 01</v>
          </cell>
          <cell r="F1166" t="str">
            <v>453</v>
          </cell>
        </row>
        <row r="1167">
          <cell r="A1167" t="str">
            <v>Телевидение и радиовещание</v>
          </cell>
          <cell r="B1167" t="str">
            <v>905</v>
          </cell>
          <cell r="C1167" t="str">
            <v>08</v>
          </cell>
          <cell r="D1167" t="str">
            <v>03</v>
          </cell>
          <cell r="E1167" t="str">
            <v>440 02 01</v>
          </cell>
          <cell r="F1167" t="str">
            <v>000</v>
          </cell>
        </row>
        <row r="1168">
          <cell r="A1168" t="str">
            <v>Мероприятия в сфере культуры, кинематографиии средств массовой информации </v>
          </cell>
          <cell r="B1168" t="str">
            <v>905</v>
          </cell>
          <cell r="C1168" t="str">
            <v>08</v>
          </cell>
          <cell r="D1168" t="str">
            <v>03</v>
          </cell>
          <cell r="E1168" t="str">
            <v>440 02 01</v>
          </cell>
          <cell r="F1168" t="str">
            <v>000</v>
          </cell>
        </row>
        <row r="1169">
          <cell r="A1169" t="str">
            <v>Государственная поддержка в сфере культуры, кинематографии и средств массовой информации </v>
          </cell>
          <cell r="B1169" t="str">
            <v>905</v>
          </cell>
          <cell r="C1169" t="str">
            <v>08</v>
          </cell>
          <cell r="D1169" t="str">
            <v>03</v>
          </cell>
          <cell r="E1169" t="str">
            <v>440 02 01</v>
          </cell>
          <cell r="F1169" t="str">
            <v>453</v>
          </cell>
        </row>
        <row r="1170">
          <cell r="A1170" t="str">
            <v>Прочие расходы </v>
          </cell>
          <cell r="B1170" t="str">
            <v>905</v>
          </cell>
          <cell r="C1170" t="str">
            <v>08</v>
          </cell>
          <cell r="D1170" t="str">
            <v>03</v>
          </cell>
          <cell r="E1170" t="str">
            <v>440 02 01</v>
          </cell>
          <cell r="F1170" t="str">
            <v>453</v>
          </cell>
        </row>
        <row r="1171">
          <cell r="A1171" t="str">
            <v>Периодическая печать  и издательства </v>
          </cell>
          <cell r="B1171" t="str">
            <v>905</v>
          </cell>
          <cell r="C1171" t="str">
            <v>08</v>
          </cell>
          <cell r="D1171" t="str">
            <v>04</v>
          </cell>
          <cell r="E1171" t="str">
            <v>440 02 01</v>
          </cell>
          <cell r="F1171" t="str">
            <v>000</v>
          </cell>
        </row>
        <row r="1172">
          <cell r="A1172" t="str">
            <v>Периодическая печать  </v>
          </cell>
          <cell r="B1172" t="str">
            <v>905</v>
          </cell>
          <cell r="C1172" t="str">
            <v>08</v>
          </cell>
          <cell r="D1172" t="str">
            <v>04</v>
          </cell>
          <cell r="E1172" t="str">
            <v>440 02 01</v>
          </cell>
          <cell r="F1172" t="str">
            <v>000</v>
          </cell>
        </row>
        <row r="1173">
          <cell r="A1173" t="str">
            <v>Государственная поддержка в сфере культуры, кинематографии и средств массовой информации </v>
          </cell>
          <cell r="B1173" t="str">
            <v>905</v>
          </cell>
          <cell r="C1173" t="str">
            <v>08</v>
          </cell>
          <cell r="D1173" t="str">
            <v>04</v>
          </cell>
          <cell r="E1173" t="str">
            <v>440 02 01</v>
          </cell>
          <cell r="F1173" t="str">
            <v>453</v>
          </cell>
        </row>
        <row r="1174">
          <cell r="A1174" t="str">
            <v>Безвозмездные и безвозвратные перечисления  организациям, за исключением государственных и муниципальных организаций </v>
          </cell>
          <cell r="B1174" t="str">
            <v>905</v>
          </cell>
          <cell r="C1174" t="str">
            <v>08</v>
          </cell>
          <cell r="D1174" t="str">
            <v>04</v>
          </cell>
          <cell r="E1174" t="str">
            <v>440 02 01</v>
          </cell>
          <cell r="F1174" t="str">
            <v>453</v>
          </cell>
        </row>
        <row r="1175">
          <cell r="A1175" t="str">
            <v>Софинансирование социальных программ субъектов Российской Федерации, связанных с предоставлением субсидий бюджетам субъектов Российской Федерации на социальные программы субъектов Российской Федерации, связанные с укреплением материально-технической базы </v>
          </cell>
          <cell r="B1175" t="str">
            <v>905</v>
          </cell>
          <cell r="C1175" t="str">
            <v>08</v>
          </cell>
          <cell r="D1175" t="str">
            <v>01</v>
          </cell>
          <cell r="E1175" t="str">
            <v>440 02 01</v>
          </cell>
          <cell r="F1175" t="str">
            <v>000</v>
          </cell>
        </row>
        <row r="1176">
          <cell r="A1176" t="str">
            <v>Субсидии в целях софинансирования расходных обязательств на создание условий для обеспечения поселений, входящих в состав муниципальных образований, услугами культуры</v>
          </cell>
          <cell r="B1176" t="str">
            <v>905</v>
          </cell>
          <cell r="C1176" t="str">
            <v>08</v>
          </cell>
          <cell r="D1176" t="str">
            <v>01</v>
          </cell>
          <cell r="E1176" t="str">
            <v>440 02 01</v>
          </cell>
          <cell r="F1176" t="str">
            <v>000</v>
          </cell>
        </row>
        <row r="1177">
          <cell r="A1177" t="str">
            <v>Выполнение функций бюджетными учреждениями</v>
          </cell>
          <cell r="B1177" t="str">
            <v>905</v>
          </cell>
          <cell r="C1177" t="str">
            <v>08</v>
          </cell>
          <cell r="D1177" t="str">
            <v>01</v>
          </cell>
          <cell r="E1177" t="str">
            <v>440 02 01</v>
          </cell>
          <cell r="F1177" t="str">
            <v>001</v>
          </cell>
        </row>
        <row r="1178">
          <cell r="A1178" t="str">
            <v>Расходы</v>
          </cell>
          <cell r="B1178" t="str">
            <v>905</v>
          </cell>
          <cell r="C1178" t="str">
            <v>08</v>
          </cell>
          <cell r="D1178" t="str">
            <v>01</v>
          </cell>
          <cell r="E1178" t="str">
            <v>440 02 01</v>
          </cell>
          <cell r="F1178" t="str">
            <v>001</v>
          </cell>
        </row>
        <row r="1179">
          <cell r="A1179" t="str">
            <v>Приобретение услуг</v>
          </cell>
          <cell r="B1179" t="str">
            <v>905</v>
          </cell>
          <cell r="C1179" t="str">
            <v>08</v>
          </cell>
          <cell r="D1179" t="str">
            <v>01</v>
          </cell>
          <cell r="E1179" t="str">
            <v>440 02 01</v>
          </cell>
          <cell r="F1179" t="str">
            <v>001</v>
          </cell>
        </row>
        <row r="1180">
          <cell r="A1180" t="str">
            <v>Транспортные услуги</v>
          </cell>
          <cell r="B1180" t="str">
            <v>905</v>
          </cell>
          <cell r="C1180" t="str">
            <v>08</v>
          </cell>
          <cell r="D1180" t="str">
            <v>01</v>
          </cell>
          <cell r="E1180" t="str">
            <v>440 02 01</v>
          </cell>
          <cell r="F1180" t="str">
            <v>001</v>
          </cell>
        </row>
        <row r="1181">
          <cell r="A1181" t="str">
            <v>Работы, услуги по содержанию имущества</v>
          </cell>
          <cell r="B1181" t="str">
            <v>905</v>
          </cell>
          <cell r="C1181" t="str">
            <v>08</v>
          </cell>
          <cell r="D1181" t="str">
            <v>01</v>
          </cell>
          <cell r="E1181" t="str">
            <v>440 02 01</v>
          </cell>
          <cell r="F1181" t="str">
            <v>001</v>
          </cell>
        </row>
        <row r="1182">
          <cell r="E1182" t="str">
            <v>440 02 01</v>
          </cell>
        </row>
        <row r="1183">
          <cell r="E1183" t="str">
            <v>440 02 01</v>
          </cell>
        </row>
        <row r="1184">
          <cell r="E1184" t="str">
            <v>440 02 01</v>
          </cell>
        </row>
        <row r="1185">
          <cell r="A1185" t="str">
            <v>Поступление нефинансовых активов</v>
          </cell>
          <cell r="B1185" t="str">
            <v>905</v>
          </cell>
          <cell r="C1185" t="str">
            <v>08</v>
          </cell>
          <cell r="D1185" t="str">
            <v>01</v>
          </cell>
          <cell r="E1185" t="str">
            <v>440 02 01</v>
          </cell>
          <cell r="F1185" t="str">
            <v>001</v>
          </cell>
        </row>
        <row r="1186">
          <cell r="A1186" t="str">
            <v>Увеличение стоимости основных средств</v>
          </cell>
          <cell r="B1186" t="str">
            <v>905</v>
          </cell>
          <cell r="C1186" t="str">
            <v>08</v>
          </cell>
          <cell r="D1186" t="str">
            <v>01</v>
          </cell>
          <cell r="E1186" t="str">
            <v>440 02 01</v>
          </cell>
          <cell r="F1186" t="str">
            <v>001</v>
          </cell>
        </row>
        <row r="1187">
          <cell r="A1187" t="str">
            <v>Увеличение стоимости материальных запасов</v>
          </cell>
          <cell r="B1187" t="str">
            <v>905</v>
          </cell>
          <cell r="C1187" t="str">
            <v>08</v>
          </cell>
          <cell r="D1187" t="str">
            <v>01</v>
          </cell>
          <cell r="E1187" t="str">
            <v>440 02 01</v>
          </cell>
          <cell r="F1187" t="str">
            <v>001</v>
          </cell>
        </row>
        <row r="1188">
          <cell r="A1188" t="str">
            <v>Целевые программы муниципальных образований "Обеспечение пожарной безопасности"</v>
          </cell>
          <cell r="B1188" t="str">
            <v>905</v>
          </cell>
          <cell r="C1188" t="str">
            <v>08</v>
          </cell>
          <cell r="D1188" t="str">
            <v>01</v>
          </cell>
          <cell r="E1188" t="str">
            <v>440 02 01</v>
          </cell>
          <cell r="F1188" t="str">
            <v>000</v>
          </cell>
        </row>
        <row r="1189">
          <cell r="A1189" t="str">
            <v>Выполнение функций органами местного самоуправления</v>
          </cell>
          <cell r="B1189" t="str">
            <v>905</v>
          </cell>
          <cell r="C1189" t="str">
            <v>08</v>
          </cell>
          <cell r="D1189" t="str">
            <v>01</v>
          </cell>
          <cell r="E1189" t="str">
            <v>440 02 01</v>
          </cell>
          <cell r="F1189" t="str">
            <v>500</v>
          </cell>
        </row>
        <row r="1190">
          <cell r="A1190" t="str">
            <v>Расходы</v>
          </cell>
          <cell r="B1190" t="str">
            <v>905</v>
          </cell>
          <cell r="C1190" t="str">
            <v>08</v>
          </cell>
          <cell r="D1190" t="str">
            <v>01</v>
          </cell>
          <cell r="E1190" t="str">
            <v>440 02 01</v>
          </cell>
          <cell r="F1190" t="str">
            <v>500</v>
          </cell>
        </row>
        <row r="1191">
          <cell r="A1191" t="str">
            <v>Приобретение услуг</v>
          </cell>
          <cell r="B1191" t="str">
            <v>905</v>
          </cell>
          <cell r="C1191" t="str">
            <v>08</v>
          </cell>
          <cell r="D1191" t="str">
            <v>01</v>
          </cell>
          <cell r="E1191" t="str">
            <v>440 02 01</v>
          </cell>
          <cell r="F1191" t="str">
            <v>500</v>
          </cell>
        </row>
        <row r="1192">
          <cell r="A1192" t="str">
            <v>Прочие услуги </v>
          </cell>
          <cell r="B1192" t="str">
            <v>905</v>
          </cell>
          <cell r="C1192" t="str">
            <v>08</v>
          </cell>
          <cell r="D1192" t="str">
            <v>01</v>
          </cell>
          <cell r="E1192" t="str">
            <v>440 02 01</v>
          </cell>
          <cell r="F1192" t="str">
            <v>500</v>
          </cell>
        </row>
        <row r="1193">
          <cell r="A1193" t="str">
            <v>Поступление нефинансовых активов</v>
          </cell>
          <cell r="B1193" t="str">
            <v>905</v>
          </cell>
          <cell r="C1193" t="str">
            <v>08</v>
          </cell>
          <cell r="D1193" t="str">
            <v>01</v>
          </cell>
          <cell r="E1193" t="str">
            <v>440 02 01</v>
          </cell>
          <cell r="F1193" t="str">
            <v>500</v>
          </cell>
        </row>
        <row r="1194">
          <cell r="A1194" t="str">
            <v>Увеличение стоимости основных средств</v>
          </cell>
          <cell r="B1194" t="str">
            <v>905</v>
          </cell>
          <cell r="C1194" t="str">
            <v>08</v>
          </cell>
          <cell r="D1194" t="str">
            <v>01</v>
          </cell>
          <cell r="E1194" t="str">
            <v>440 02 01</v>
          </cell>
          <cell r="F1194" t="str">
            <v>500</v>
          </cell>
        </row>
        <row r="1195">
          <cell r="A1195" t="str">
            <v>Комплектование книжных фондов библиотек
муниципальных образований и государственных библиотек ОБ
городов Москвы и Санкт-Петербурга за счет областного бюджета</v>
          </cell>
          <cell r="B1195">
            <v>905</v>
          </cell>
          <cell r="C1195" t="str">
            <v>08</v>
          </cell>
          <cell r="D1195" t="str">
            <v>01</v>
          </cell>
          <cell r="E1195" t="str">
            <v>440 02 02</v>
          </cell>
          <cell r="F1195" t="str">
            <v>000</v>
          </cell>
        </row>
        <row r="1196">
          <cell r="A1196" t="str">
            <v>Иные межбюджетные трансферты</v>
          </cell>
          <cell r="B1196">
            <v>905</v>
          </cell>
          <cell r="C1196" t="str">
            <v>08</v>
          </cell>
          <cell r="D1196" t="str">
            <v>01</v>
          </cell>
          <cell r="E1196" t="str">
            <v>440 02 02</v>
          </cell>
          <cell r="F1196" t="str">
            <v>017</v>
          </cell>
        </row>
        <row r="1197">
          <cell r="A1197" t="str">
            <v>Увеличение стоимости основных средств</v>
          </cell>
          <cell r="B1197">
            <v>905</v>
          </cell>
          <cell r="C1197" t="str">
            <v>08</v>
          </cell>
          <cell r="D1197" t="str">
            <v>01</v>
          </cell>
          <cell r="E1197" t="str">
            <v>440 02 02</v>
          </cell>
          <cell r="F1197" t="str">
            <v>001</v>
          </cell>
        </row>
        <row r="1198">
          <cell r="A1198" t="str">
            <v>Комплектование книжных фондов библиотек
муниципальных образований и государственных библиотек МБ
городов Москвы и Санкт-Петербурга за счет областного бюджета</v>
          </cell>
          <cell r="B1198">
            <v>905</v>
          </cell>
          <cell r="C1198" t="str">
            <v>08</v>
          </cell>
          <cell r="D1198" t="str">
            <v>01</v>
          </cell>
          <cell r="E1198" t="str">
            <v>440 02 03</v>
          </cell>
          <cell r="F1198" t="str">
            <v>000</v>
          </cell>
        </row>
        <row r="1199">
          <cell r="A1199" t="str">
            <v>Иные межбюджетные трансферты</v>
          </cell>
          <cell r="B1199">
            <v>905</v>
          </cell>
          <cell r="C1199" t="str">
            <v>08</v>
          </cell>
          <cell r="D1199" t="str">
            <v>01</v>
          </cell>
          <cell r="E1199" t="str">
            <v>440 02 03</v>
          </cell>
          <cell r="F1199" t="str">
            <v>017</v>
          </cell>
        </row>
        <row r="1200">
          <cell r="A1200" t="str">
            <v>Увеличение стоимости основных средств</v>
          </cell>
          <cell r="B1200">
            <v>905</v>
          </cell>
          <cell r="C1200" t="str">
            <v>08</v>
          </cell>
          <cell r="D1200" t="str">
            <v>01</v>
          </cell>
          <cell r="E1200" t="str">
            <v>440 02 03</v>
          </cell>
          <cell r="F1200" t="str">
            <v>001</v>
          </cell>
        </row>
        <row r="1201">
          <cell r="A1201" t="str">
            <v>Долгосрочная целевая программа Иркутской области "50 модельных домов культуры Приангарью" на 2011-2013 годы</v>
          </cell>
          <cell r="B1201">
            <v>905</v>
          </cell>
          <cell r="C1201" t="str">
            <v>08</v>
          </cell>
          <cell r="D1201" t="str">
            <v>01</v>
          </cell>
          <cell r="E1201" t="str">
            <v>522 55 00</v>
          </cell>
          <cell r="F1201" t="str">
            <v>000</v>
          </cell>
        </row>
        <row r="1202">
          <cell r="A1202" t="str">
            <v>Фонд софинансирования</v>
          </cell>
          <cell r="B1202">
            <v>905</v>
          </cell>
          <cell r="C1202" t="str">
            <v>08</v>
          </cell>
          <cell r="D1202" t="str">
            <v>01</v>
          </cell>
          <cell r="E1202" t="str">
            <v>522 55 00</v>
          </cell>
          <cell r="F1202" t="str">
            <v>010</v>
          </cell>
        </row>
        <row r="1203">
          <cell r="A1203" t="str">
            <v>Расходы</v>
          </cell>
          <cell r="B1203">
            <v>905</v>
          </cell>
          <cell r="C1203" t="str">
            <v>08</v>
          </cell>
          <cell r="D1203" t="str">
            <v>01</v>
          </cell>
          <cell r="E1203" t="str">
            <v>522 55 00</v>
          </cell>
          <cell r="F1203" t="str">
            <v>010</v>
          </cell>
        </row>
        <row r="1204">
          <cell r="A1204" t="str">
            <v>Приобретение услуг</v>
          </cell>
          <cell r="B1204">
            <v>905</v>
          </cell>
          <cell r="C1204" t="str">
            <v>08</v>
          </cell>
          <cell r="D1204" t="str">
            <v>01</v>
          </cell>
          <cell r="E1204" t="str">
            <v>522 55 00</v>
          </cell>
          <cell r="F1204" t="str">
            <v>010</v>
          </cell>
        </row>
        <row r="1205">
          <cell r="A1205" t="str">
            <v>Услуги по содержанию иммущества</v>
          </cell>
          <cell r="B1205">
            <v>905</v>
          </cell>
          <cell r="C1205" t="str">
            <v>08</v>
          </cell>
          <cell r="D1205" t="str">
            <v>01</v>
          </cell>
          <cell r="E1205" t="str">
            <v>522 55 00</v>
          </cell>
          <cell r="F1205" t="str">
            <v>010</v>
          </cell>
        </row>
        <row r="1207">
          <cell r="B1207">
            <v>905</v>
          </cell>
          <cell r="C1207" t="str">
            <v>08</v>
          </cell>
          <cell r="D1207" t="str">
            <v>01</v>
          </cell>
          <cell r="E1207" t="str">
            <v>522 55 00</v>
          </cell>
          <cell r="F1207" t="str">
            <v>010</v>
          </cell>
        </row>
        <row r="1208">
          <cell r="B1208">
            <v>905</v>
          </cell>
          <cell r="C1208" t="str">
            <v>08</v>
          </cell>
          <cell r="D1208" t="str">
            <v>01</v>
          </cell>
          <cell r="E1208" t="str">
            <v>522 55 00</v>
          </cell>
          <cell r="F1208" t="str">
            <v>010</v>
          </cell>
        </row>
        <row r="1209">
          <cell r="A1209" t="str">
            <v>Целевые программы муниципальных образований </v>
          </cell>
          <cell r="B1209" t="str">
            <v>905</v>
          </cell>
          <cell r="C1209" t="str">
            <v>08</v>
          </cell>
          <cell r="D1209" t="str">
            <v>01</v>
          </cell>
          <cell r="E1209" t="str">
            <v>795 00 00</v>
          </cell>
          <cell r="F1209" t="str">
            <v>000</v>
          </cell>
        </row>
        <row r="1210">
          <cell r="A1210" t="str">
            <v>Обеспечение пожарной безопасности  в учреждениях культуры  Усольского района на 2011-2013 гг</v>
          </cell>
          <cell r="B1210" t="str">
            <v>905</v>
          </cell>
          <cell r="C1210" t="str">
            <v>08</v>
          </cell>
          <cell r="D1210" t="str">
            <v>01</v>
          </cell>
          <cell r="E1210" t="str">
            <v>795 18 00</v>
          </cell>
          <cell r="F1210" t="str">
            <v>000</v>
          </cell>
        </row>
        <row r="1211">
          <cell r="A1211" t="str">
            <v>Выполнение функций органами местного самоуправления</v>
          </cell>
          <cell r="B1211" t="str">
            <v>905</v>
          </cell>
          <cell r="C1211" t="str">
            <v>08</v>
          </cell>
          <cell r="D1211" t="str">
            <v>01</v>
          </cell>
          <cell r="E1211" t="str">
            <v>795 18 00</v>
          </cell>
          <cell r="F1211" t="str">
            <v>500</v>
          </cell>
        </row>
        <row r="1212">
          <cell r="A1212" t="str">
            <v>Приобретение услуг</v>
          </cell>
          <cell r="B1212" t="str">
            <v>905</v>
          </cell>
          <cell r="C1212" t="str">
            <v>08</v>
          </cell>
          <cell r="D1212" t="str">
            <v>01</v>
          </cell>
          <cell r="E1212" t="str">
            <v>795 00 00</v>
          </cell>
          <cell r="F1212" t="str">
            <v>500</v>
          </cell>
        </row>
        <row r="1213">
          <cell r="A1213" t="str">
            <v>Услуги связи </v>
          </cell>
          <cell r="B1213" t="str">
            <v>905</v>
          </cell>
          <cell r="C1213" t="str">
            <v>08</v>
          </cell>
          <cell r="D1213" t="str">
            <v>01</v>
          </cell>
          <cell r="E1213" t="str">
            <v>795 18 00</v>
          </cell>
          <cell r="F1213" t="str">
            <v>500</v>
          </cell>
        </row>
        <row r="1214">
          <cell r="A1214" t="str">
            <v>Услуги по содержанию иммущества</v>
          </cell>
          <cell r="B1214" t="str">
            <v>905</v>
          </cell>
          <cell r="C1214" t="str">
            <v>08</v>
          </cell>
          <cell r="D1214" t="str">
            <v>01</v>
          </cell>
          <cell r="E1214" t="str">
            <v>795 18 00</v>
          </cell>
          <cell r="F1214" t="str">
            <v>500</v>
          </cell>
        </row>
        <row r="1215">
          <cell r="A1215" t="str">
            <v>Прочие услуги</v>
          </cell>
          <cell r="B1215" t="str">
            <v>905</v>
          </cell>
          <cell r="C1215" t="str">
            <v>08</v>
          </cell>
          <cell r="D1215" t="str">
            <v>01</v>
          </cell>
          <cell r="E1215" t="str">
            <v>795 18 00</v>
          </cell>
          <cell r="F1215" t="str">
            <v>500</v>
          </cell>
        </row>
        <row r="1216">
          <cell r="A1216" t="str">
            <v>Поступление нефинансовых активов</v>
          </cell>
          <cell r="B1216" t="str">
            <v>905</v>
          </cell>
          <cell r="C1216" t="str">
            <v>08</v>
          </cell>
          <cell r="D1216" t="str">
            <v>01</v>
          </cell>
          <cell r="E1216" t="str">
            <v>795 17 00</v>
          </cell>
          <cell r="F1216" t="str">
            <v>500</v>
          </cell>
        </row>
        <row r="1217">
          <cell r="A1217" t="str">
            <v>Увеличение стоимости материальных запасов</v>
          </cell>
          <cell r="B1217" t="str">
            <v>905</v>
          </cell>
          <cell r="C1217" t="str">
            <v>08</v>
          </cell>
          <cell r="D1217" t="str">
            <v>01</v>
          </cell>
          <cell r="E1217" t="str">
            <v>795 17 00</v>
          </cell>
          <cell r="F1217" t="str">
            <v>500</v>
          </cell>
        </row>
        <row r="1218">
          <cell r="A1218" t="str">
            <v>Улучшение условий и охраны труда, обеспечение санитарно-гигиенического режима в учреждениях культуры Усольского района на 2012-2014годы</v>
          </cell>
          <cell r="B1218" t="str">
            <v>905</v>
          </cell>
          <cell r="C1218" t="str">
            <v>08</v>
          </cell>
          <cell r="D1218" t="str">
            <v>01</v>
          </cell>
          <cell r="E1218" t="str">
            <v>795 35 00</v>
          </cell>
          <cell r="F1218" t="str">
            <v>000</v>
          </cell>
        </row>
        <row r="1219">
          <cell r="A1219" t="str">
            <v>Выполнение функций органами местного самоуправления</v>
          </cell>
          <cell r="B1219" t="str">
            <v>905</v>
          </cell>
          <cell r="C1219" t="str">
            <v>08</v>
          </cell>
          <cell r="D1219" t="str">
            <v>01</v>
          </cell>
          <cell r="E1219" t="str">
            <v>795 35 00</v>
          </cell>
          <cell r="F1219" t="str">
            <v>500</v>
          </cell>
        </row>
        <row r="1220">
          <cell r="A1220" t="str">
            <v>Другие вопросы в области культуры, кинематографии </v>
          </cell>
          <cell r="B1220" t="str">
            <v>905</v>
          </cell>
          <cell r="C1220" t="str">
            <v>08</v>
          </cell>
          <cell r="D1220" t="str">
            <v>04</v>
          </cell>
          <cell r="E1220" t="str">
            <v>000 00 00</v>
          </cell>
          <cell r="F1220" t="str">
            <v>000</v>
          </cell>
        </row>
        <row r="1221">
          <cell r="A1221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1221" t="str">
            <v>905</v>
          </cell>
          <cell r="C1221" t="str">
            <v>08</v>
          </cell>
          <cell r="D1221" t="str">
            <v>04</v>
          </cell>
          <cell r="E1221" t="str">
            <v>002 00 00</v>
          </cell>
          <cell r="F1221" t="str">
            <v>000</v>
          </cell>
        </row>
        <row r="1222">
          <cell r="A1222" t="str">
            <v>Центральный аппарат</v>
          </cell>
          <cell r="B1222" t="str">
            <v>905</v>
          </cell>
          <cell r="C1222" t="str">
            <v>08</v>
          </cell>
          <cell r="D1222" t="str">
            <v>04</v>
          </cell>
          <cell r="E1222" t="str">
            <v>002 04 00</v>
          </cell>
          <cell r="F1222" t="str">
            <v>000</v>
          </cell>
        </row>
        <row r="1223">
          <cell r="A1223" t="str">
            <v>Выполнение функций органами местного самоуправления</v>
          </cell>
          <cell r="B1223" t="str">
            <v>905</v>
          </cell>
          <cell r="C1223" t="str">
            <v>08</v>
          </cell>
          <cell r="D1223" t="str">
            <v>04</v>
          </cell>
          <cell r="E1223" t="str">
            <v>002 04 00</v>
          </cell>
          <cell r="F1223" t="str">
            <v>500</v>
          </cell>
        </row>
        <row r="1224">
          <cell r="A1224" t="str">
            <v>Расходы</v>
          </cell>
          <cell r="B1224" t="str">
            <v>905</v>
          </cell>
          <cell r="C1224" t="str">
            <v>08</v>
          </cell>
          <cell r="D1224" t="str">
            <v>04</v>
          </cell>
          <cell r="E1224" t="str">
            <v>002 04 00</v>
          </cell>
          <cell r="F1224" t="str">
            <v>500</v>
          </cell>
        </row>
        <row r="1225">
          <cell r="A1225" t="str">
            <v>Оплата труда и начисления на оплату труда</v>
          </cell>
          <cell r="B1225" t="str">
            <v>905</v>
          </cell>
          <cell r="C1225" t="str">
            <v>08</v>
          </cell>
          <cell r="D1225" t="str">
            <v>04</v>
          </cell>
          <cell r="E1225" t="str">
            <v>002 04 00</v>
          </cell>
          <cell r="F1225" t="str">
            <v>500</v>
          </cell>
        </row>
        <row r="1226">
          <cell r="A1226" t="str">
            <v>Заработная плата</v>
          </cell>
          <cell r="B1226" t="str">
            <v>905</v>
          </cell>
          <cell r="C1226" t="str">
            <v>08</v>
          </cell>
          <cell r="D1226" t="str">
            <v>04</v>
          </cell>
          <cell r="E1226" t="str">
            <v>002 04 00</v>
          </cell>
          <cell r="F1226" t="str">
            <v>500</v>
          </cell>
        </row>
        <row r="1227">
          <cell r="A1227" t="str">
            <v>Прочие выплаты</v>
          </cell>
          <cell r="B1227" t="str">
            <v>905</v>
          </cell>
          <cell r="C1227" t="str">
            <v>08</v>
          </cell>
          <cell r="D1227" t="str">
            <v>04</v>
          </cell>
          <cell r="E1227" t="str">
            <v>002 04 00</v>
          </cell>
          <cell r="F1227" t="str">
            <v>500</v>
          </cell>
        </row>
        <row r="1228">
          <cell r="A1228" t="str">
            <v>Начисление на оплату труда</v>
          </cell>
          <cell r="B1228" t="str">
            <v>905</v>
          </cell>
          <cell r="C1228" t="str">
            <v>08</v>
          </cell>
          <cell r="D1228" t="str">
            <v>04</v>
          </cell>
          <cell r="E1228" t="str">
            <v>002 04 00</v>
          </cell>
          <cell r="F1228" t="str">
            <v>500</v>
          </cell>
        </row>
        <row r="1229">
          <cell r="A1229" t="str">
            <v>Приобретение услуг</v>
          </cell>
          <cell r="B1229" t="str">
            <v>905</v>
          </cell>
          <cell r="C1229" t="str">
            <v>08</v>
          </cell>
          <cell r="D1229" t="str">
            <v>04</v>
          </cell>
          <cell r="E1229" t="str">
            <v>002 04 00</v>
          </cell>
          <cell r="F1229" t="str">
            <v>500</v>
          </cell>
        </row>
        <row r="1230">
          <cell r="A1230" t="str">
            <v>Услуги связи </v>
          </cell>
          <cell r="B1230" t="str">
            <v>905</v>
          </cell>
          <cell r="C1230" t="str">
            <v>08</v>
          </cell>
          <cell r="D1230" t="str">
            <v>04</v>
          </cell>
          <cell r="E1230" t="str">
            <v>002 04 00</v>
          </cell>
          <cell r="F1230" t="str">
            <v>500</v>
          </cell>
        </row>
        <row r="1231">
          <cell r="A1231" t="str">
            <v>Транспортные услуги</v>
          </cell>
          <cell r="B1231" t="str">
            <v>905</v>
          </cell>
          <cell r="C1231" t="str">
            <v>08</v>
          </cell>
          <cell r="D1231" t="str">
            <v>04</v>
          </cell>
          <cell r="E1231" t="str">
            <v>002 04 00</v>
          </cell>
          <cell r="F1231" t="str">
            <v>500</v>
          </cell>
        </row>
        <row r="1232">
          <cell r="A1232" t="str">
            <v>Коммунальные услуги</v>
          </cell>
          <cell r="B1232" t="str">
            <v>905</v>
          </cell>
          <cell r="C1232" t="str">
            <v>08</v>
          </cell>
          <cell r="D1232" t="str">
            <v>04</v>
          </cell>
          <cell r="E1232" t="str">
            <v>002 04 00</v>
          </cell>
          <cell r="F1232" t="str">
            <v>500</v>
          </cell>
        </row>
        <row r="1233">
          <cell r="A1233" t="str">
            <v>Арендная плата за пользование иммуществом </v>
          </cell>
          <cell r="B1233" t="str">
            <v>905</v>
          </cell>
          <cell r="C1233" t="str">
            <v>08</v>
          </cell>
          <cell r="D1233" t="str">
            <v>04</v>
          </cell>
          <cell r="E1233" t="str">
            <v>002 04 00</v>
          </cell>
          <cell r="F1233" t="str">
            <v>500</v>
          </cell>
        </row>
        <row r="1234">
          <cell r="A1234" t="str">
            <v>Услуги по содержанию иммущества</v>
          </cell>
          <cell r="B1234" t="str">
            <v>905</v>
          </cell>
          <cell r="C1234" t="str">
            <v>08</v>
          </cell>
          <cell r="D1234" t="str">
            <v>04</v>
          </cell>
          <cell r="E1234" t="str">
            <v>002 04 00</v>
          </cell>
          <cell r="F1234" t="str">
            <v>500</v>
          </cell>
        </row>
        <row r="1235">
          <cell r="A1235" t="str">
            <v>Прочие услуги</v>
          </cell>
          <cell r="B1235" t="str">
            <v>905</v>
          </cell>
          <cell r="C1235" t="str">
            <v>08</v>
          </cell>
          <cell r="D1235" t="str">
            <v>04</v>
          </cell>
          <cell r="E1235" t="str">
            <v>002 04 00</v>
          </cell>
          <cell r="F1235" t="str">
            <v>500</v>
          </cell>
        </row>
        <row r="1236">
          <cell r="A1236" t="str">
            <v>Прочие расходы </v>
          </cell>
          <cell r="B1236" t="str">
            <v>905</v>
          </cell>
          <cell r="C1236" t="str">
            <v>08</v>
          </cell>
          <cell r="D1236" t="str">
            <v>04</v>
          </cell>
          <cell r="E1236" t="str">
            <v>002 04 00</v>
          </cell>
          <cell r="F1236" t="str">
            <v>500</v>
          </cell>
        </row>
        <row r="1237">
          <cell r="A1237" t="str">
            <v>Прочие расходы</v>
          </cell>
          <cell r="B1237" t="str">
            <v>905</v>
          </cell>
          <cell r="C1237" t="str">
            <v>08</v>
          </cell>
          <cell r="D1237" t="str">
            <v>04</v>
          </cell>
          <cell r="E1237" t="str">
            <v>002 04 00</v>
          </cell>
          <cell r="F1237" t="str">
            <v>500</v>
          </cell>
        </row>
        <row r="1238">
          <cell r="A1238" t="str">
            <v>Поступление нефинансовых активов</v>
          </cell>
          <cell r="B1238" t="str">
            <v>905</v>
          </cell>
          <cell r="C1238" t="str">
            <v>08</v>
          </cell>
          <cell r="D1238" t="str">
            <v>04</v>
          </cell>
          <cell r="E1238" t="str">
            <v>002 04 00</v>
          </cell>
          <cell r="F1238" t="str">
            <v>500</v>
          </cell>
        </row>
        <row r="1239">
          <cell r="A1239" t="str">
            <v>Увеличение стоимости основных средств</v>
          </cell>
          <cell r="B1239" t="str">
            <v>905</v>
          </cell>
          <cell r="C1239" t="str">
            <v>08</v>
          </cell>
          <cell r="D1239" t="str">
            <v>04</v>
          </cell>
          <cell r="E1239" t="str">
            <v>002 04 00</v>
          </cell>
          <cell r="F1239" t="str">
            <v>500</v>
          </cell>
        </row>
        <row r="1240">
          <cell r="A1240" t="str">
            <v>Увеличение стоимости материальных запасов</v>
          </cell>
          <cell r="B1240" t="str">
            <v>905</v>
          </cell>
          <cell r="C1240" t="str">
            <v>08</v>
          </cell>
          <cell r="D1240" t="str">
            <v>04</v>
          </cell>
          <cell r="E1240" t="str">
            <v>002 04 00</v>
          </cell>
          <cell r="F1240" t="str">
            <v>500</v>
          </cell>
        </row>
        <row r="1241">
          <cell r="A1241" t="str">
            <v>Мероприятия в сфере культуры, кинематографиии средств массовой информации </v>
          </cell>
          <cell r="B1241" t="str">
            <v>902</v>
          </cell>
          <cell r="C1241" t="str">
            <v>08</v>
          </cell>
          <cell r="D1241" t="str">
            <v>04</v>
          </cell>
          <cell r="E1241" t="str">
            <v>450 85 00</v>
          </cell>
          <cell r="F1241" t="str">
            <v>000</v>
          </cell>
        </row>
        <row r="1242">
          <cell r="A1242" t="str">
            <v>Государственная поддержка в сфере культуры, кинематографии и средств массовой информации </v>
          </cell>
          <cell r="B1242" t="str">
            <v>902</v>
          </cell>
          <cell r="C1242" t="str">
            <v>08</v>
          </cell>
          <cell r="D1242" t="str">
            <v>04</v>
          </cell>
          <cell r="E1242" t="str">
            <v>450 85 00</v>
          </cell>
          <cell r="F1242" t="str">
            <v>012</v>
          </cell>
        </row>
        <row r="1243">
          <cell r="A1243" t="str">
            <v>Прочие расходы </v>
          </cell>
          <cell r="B1243" t="str">
            <v>902</v>
          </cell>
          <cell r="C1243" t="str">
            <v>08</v>
          </cell>
          <cell r="D1243" t="str">
            <v>04</v>
          </cell>
          <cell r="E1243" t="str">
            <v>450 85 00</v>
          </cell>
          <cell r="F1243" t="str">
            <v>012</v>
          </cell>
        </row>
        <row r="1244">
          <cell r="A1244" t="str">
            <v>Увеличение стоиммости материальных запасов</v>
          </cell>
          <cell r="B1244" t="str">
            <v>905</v>
          </cell>
          <cell r="C1244" t="str">
            <v>08</v>
          </cell>
          <cell r="D1244" t="str">
            <v>04</v>
          </cell>
          <cell r="E1244" t="str">
            <v>002 04 00</v>
          </cell>
          <cell r="F1244" t="str">
            <v>500</v>
          </cell>
        </row>
        <row r="1245">
          <cell r="A1245" t="str">
            <v>Межбюджетные трансферты на погашение кредиторской задолженности муниципальных учреждений по страховым взносам в Пенсионный фонд Российской Федерации на обязательное пенсионное страхование, сложившейся за период с 1 января 2001 года до 1 января 2010 года</v>
          </cell>
          <cell r="B1245" t="str">
            <v>905</v>
          </cell>
          <cell r="C1245" t="str">
            <v>08</v>
          </cell>
          <cell r="D1245" t="str">
            <v>04</v>
          </cell>
          <cell r="E1245" t="str">
            <v>603 00 00</v>
          </cell>
          <cell r="F1245" t="str">
            <v>001</v>
          </cell>
        </row>
        <row r="1246">
          <cell r="B1246" t="str">
            <v>905</v>
          </cell>
          <cell r="C1246" t="str">
            <v>08</v>
          </cell>
          <cell r="D1246" t="str">
            <v>04</v>
          </cell>
          <cell r="E1246" t="str">
            <v>603 00 00</v>
          </cell>
          <cell r="F1246" t="str">
            <v>001</v>
          </cell>
        </row>
        <row r="1247">
          <cell r="B1247" t="str">
            <v>905</v>
          </cell>
          <cell r="C1247" t="str">
            <v>08</v>
          </cell>
          <cell r="D1247" t="str">
            <v>04</v>
          </cell>
          <cell r="E1247" t="str">
            <v>603 00 00</v>
          </cell>
          <cell r="F1247" t="str">
            <v>001</v>
          </cell>
        </row>
        <row r="1248">
          <cell r="A1248" t="str">
            <v>Выполнение функций органами местного самоуправления</v>
          </cell>
          <cell r="B1248" t="str">
            <v>905</v>
          </cell>
          <cell r="C1248" t="str">
            <v>08</v>
          </cell>
          <cell r="D1248" t="str">
            <v>04</v>
          </cell>
          <cell r="E1248" t="str">
            <v>603 00 00</v>
          </cell>
          <cell r="F1248" t="str">
            <v>001</v>
          </cell>
        </row>
        <row r="1249">
          <cell r="A1249" t="str">
            <v>Расходы</v>
          </cell>
          <cell r="B1249" t="str">
            <v>905</v>
          </cell>
          <cell r="C1249" t="str">
            <v>08</v>
          </cell>
          <cell r="D1249" t="str">
            <v>04</v>
          </cell>
          <cell r="E1249" t="str">
            <v>603 00 00</v>
          </cell>
          <cell r="F1249" t="str">
            <v>001</v>
          </cell>
        </row>
        <row r="1250">
          <cell r="A1250" t="str">
            <v>Оплата труда и начисления на оплату труда</v>
          </cell>
          <cell r="B1250" t="str">
            <v>905</v>
          </cell>
          <cell r="C1250" t="str">
            <v>08</v>
          </cell>
          <cell r="D1250" t="str">
            <v>04</v>
          </cell>
          <cell r="E1250" t="str">
            <v>603 00 00</v>
          </cell>
          <cell r="F1250" t="str">
            <v>001</v>
          </cell>
        </row>
        <row r="1251">
          <cell r="A1251" t="str">
            <v>Начисление на оплату труда</v>
          </cell>
          <cell r="B1251" t="str">
            <v>905</v>
          </cell>
          <cell r="C1251" t="str">
            <v>08</v>
          </cell>
          <cell r="D1251" t="str">
            <v>04</v>
          </cell>
          <cell r="E1251" t="str">
            <v>603 00 00</v>
          </cell>
          <cell r="F1251" t="str">
            <v>001</v>
          </cell>
        </row>
        <row r="1252">
          <cell r="A1252" t="str">
    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    </cell>
          <cell r="B1252" t="str">
            <v>905</v>
          </cell>
          <cell r="C1252" t="str">
            <v>08</v>
          </cell>
          <cell r="D1252" t="str">
            <v>04</v>
          </cell>
          <cell r="E1252" t="str">
            <v>452 00 00</v>
          </cell>
          <cell r="F1252" t="str">
            <v>000</v>
          </cell>
        </row>
        <row r="1253">
          <cell r="A1253" t="str">
            <v>Обеспечение деятельности подведомственных учреждений</v>
          </cell>
          <cell r="B1253" t="str">
            <v>905</v>
          </cell>
          <cell r="C1253" t="str">
            <v>08</v>
          </cell>
          <cell r="D1253" t="str">
            <v>04</v>
          </cell>
          <cell r="E1253" t="str">
            <v>452 99 00</v>
          </cell>
          <cell r="F1253" t="str">
            <v>000</v>
          </cell>
        </row>
        <row r="1254">
          <cell r="A1254" t="str">
            <v>Выполнение функций бюджетными учреждениями</v>
          </cell>
          <cell r="B1254" t="str">
            <v>905</v>
          </cell>
          <cell r="C1254" t="str">
            <v>08</v>
          </cell>
          <cell r="D1254" t="str">
            <v>04</v>
          </cell>
          <cell r="E1254" t="str">
            <v>452 99 00</v>
          </cell>
          <cell r="F1254" t="str">
            <v>001</v>
          </cell>
        </row>
        <row r="1255">
          <cell r="A1255" t="str">
            <v>Расходы</v>
          </cell>
          <cell r="B1255" t="str">
            <v>905</v>
          </cell>
          <cell r="C1255" t="str">
            <v>08</v>
          </cell>
          <cell r="D1255" t="str">
            <v>04</v>
          </cell>
          <cell r="E1255" t="str">
            <v>452 99 00</v>
          </cell>
          <cell r="F1255" t="str">
            <v>001</v>
          </cell>
        </row>
        <row r="1256">
          <cell r="A1256" t="str">
            <v>Оплата труда и начисления на оплату труда</v>
          </cell>
          <cell r="B1256" t="str">
            <v>905</v>
          </cell>
          <cell r="C1256" t="str">
            <v>08</v>
          </cell>
          <cell r="D1256" t="str">
            <v>04</v>
          </cell>
          <cell r="E1256" t="str">
            <v>452 99 00</v>
          </cell>
          <cell r="F1256" t="str">
            <v>001</v>
          </cell>
        </row>
        <row r="1257">
          <cell r="A1257" t="str">
            <v>Заработная плата</v>
          </cell>
          <cell r="B1257" t="str">
            <v>905</v>
          </cell>
          <cell r="C1257" t="str">
            <v>08</v>
          </cell>
          <cell r="D1257" t="str">
            <v>04</v>
          </cell>
          <cell r="E1257" t="str">
            <v>452 99 00</v>
          </cell>
          <cell r="F1257" t="str">
            <v>001</v>
          </cell>
        </row>
        <row r="1258">
          <cell r="A1258" t="str">
            <v>Прочие выплаты</v>
          </cell>
          <cell r="B1258" t="str">
            <v>905</v>
          </cell>
          <cell r="C1258" t="str">
            <v>08</v>
          </cell>
          <cell r="D1258" t="str">
            <v>04</v>
          </cell>
          <cell r="E1258" t="str">
            <v>452 99 00</v>
          </cell>
          <cell r="F1258" t="str">
            <v>001</v>
          </cell>
        </row>
        <row r="1259">
          <cell r="A1259" t="str">
            <v>Начисление на оплату труда</v>
          </cell>
          <cell r="B1259" t="str">
            <v>905</v>
          </cell>
          <cell r="C1259" t="str">
            <v>08</v>
          </cell>
          <cell r="D1259" t="str">
            <v>04</v>
          </cell>
          <cell r="E1259" t="str">
            <v>452 99 00</v>
          </cell>
          <cell r="F1259" t="str">
            <v>001</v>
          </cell>
        </row>
        <row r="1260">
          <cell r="A1260" t="str">
            <v>Приобретение услуг</v>
          </cell>
          <cell r="B1260" t="str">
            <v>905</v>
          </cell>
          <cell r="C1260" t="str">
            <v>08</v>
          </cell>
          <cell r="D1260" t="str">
            <v>04</v>
          </cell>
          <cell r="E1260" t="str">
            <v>452 99 00</v>
          </cell>
          <cell r="F1260" t="str">
            <v>001</v>
          </cell>
        </row>
        <row r="1261">
          <cell r="A1261" t="str">
            <v>Услуги связи </v>
          </cell>
          <cell r="B1261" t="str">
            <v>905</v>
          </cell>
          <cell r="C1261" t="str">
            <v>08</v>
          </cell>
          <cell r="D1261" t="str">
            <v>04</v>
          </cell>
          <cell r="E1261" t="str">
            <v>452 99 00</v>
          </cell>
          <cell r="F1261" t="str">
            <v>001</v>
          </cell>
        </row>
        <row r="1262">
          <cell r="A1262" t="str">
            <v>Транспортные услуги</v>
          </cell>
          <cell r="B1262" t="str">
            <v>905</v>
          </cell>
          <cell r="C1262" t="str">
            <v>08</v>
          </cell>
          <cell r="D1262" t="str">
            <v>04</v>
          </cell>
          <cell r="E1262" t="str">
            <v>452 99 00</v>
          </cell>
          <cell r="F1262" t="str">
            <v>001</v>
          </cell>
        </row>
        <row r="1263">
          <cell r="A1263" t="str">
            <v>Коммунальные услуги</v>
          </cell>
          <cell r="B1263" t="str">
            <v>905</v>
          </cell>
          <cell r="C1263" t="str">
            <v>08</v>
          </cell>
          <cell r="D1263" t="str">
            <v>04</v>
          </cell>
          <cell r="E1263" t="str">
            <v>452 99 00</v>
          </cell>
          <cell r="F1263" t="str">
            <v>001</v>
          </cell>
        </row>
        <row r="1264">
          <cell r="A1264" t="str">
            <v>Арендная плата за пользование иммуществом </v>
          </cell>
          <cell r="B1264" t="str">
            <v>905</v>
          </cell>
          <cell r="C1264" t="str">
            <v>08</v>
          </cell>
          <cell r="D1264" t="str">
            <v>04</v>
          </cell>
          <cell r="E1264" t="str">
            <v>452 99 00</v>
          </cell>
          <cell r="F1264" t="str">
            <v>001</v>
          </cell>
        </row>
        <row r="1265">
          <cell r="A1265" t="str">
            <v>Услуги по содержанию иммущества</v>
          </cell>
          <cell r="B1265" t="str">
            <v>905</v>
          </cell>
          <cell r="C1265" t="str">
            <v>08</v>
          </cell>
          <cell r="D1265" t="str">
            <v>04</v>
          </cell>
          <cell r="E1265" t="str">
            <v>452 99 00</v>
          </cell>
          <cell r="F1265" t="str">
            <v>001</v>
          </cell>
        </row>
        <row r="1266">
          <cell r="A1266" t="str">
            <v>Прочие услуги</v>
          </cell>
          <cell r="B1266" t="str">
            <v>905</v>
          </cell>
          <cell r="C1266" t="str">
            <v>08</v>
          </cell>
          <cell r="D1266" t="str">
            <v>04</v>
          </cell>
          <cell r="E1266" t="str">
            <v>452 99 00</v>
          </cell>
          <cell r="F1266" t="str">
            <v>001</v>
          </cell>
        </row>
        <row r="1267">
          <cell r="A1267" t="str">
            <v>Прочие расходы </v>
          </cell>
          <cell r="B1267" t="str">
            <v>905</v>
          </cell>
          <cell r="C1267" t="str">
            <v>08</v>
          </cell>
          <cell r="D1267" t="str">
            <v>04</v>
          </cell>
          <cell r="E1267" t="str">
            <v>452 99 00</v>
          </cell>
          <cell r="F1267" t="str">
            <v>001</v>
          </cell>
        </row>
        <row r="1268">
          <cell r="A1268" t="str">
            <v>Поступление нефинансовых активов</v>
          </cell>
          <cell r="B1268" t="str">
            <v>905</v>
          </cell>
          <cell r="C1268" t="str">
            <v>08</v>
          </cell>
          <cell r="D1268" t="str">
            <v>04</v>
          </cell>
          <cell r="E1268" t="str">
            <v>452 99 00</v>
          </cell>
          <cell r="F1268" t="str">
            <v>001</v>
          </cell>
        </row>
        <row r="1269">
          <cell r="A1269" t="str">
            <v>Увеличение стоимости основных средств</v>
          </cell>
          <cell r="B1269" t="str">
            <v>905</v>
          </cell>
          <cell r="C1269" t="str">
            <v>08</v>
          </cell>
          <cell r="D1269" t="str">
            <v>04</v>
          </cell>
          <cell r="E1269" t="str">
            <v>452 99 00</v>
          </cell>
          <cell r="F1269" t="str">
            <v>001</v>
          </cell>
        </row>
        <row r="1270">
          <cell r="A1270" t="str">
            <v>Увеличение стоимости материальных запасов</v>
          </cell>
          <cell r="B1270" t="str">
            <v>905</v>
          </cell>
          <cell r="C1270" t="str">
            <v>08</v>
          </cell>
          <cell r="D1270" t="str">
            <v>04</v>
          </cell>
          <cell r="E1270" t="str">
            <v>452 99 00</v>
          </cell>
          <cell r="F1270" t="str">
            <v>001</v>
          </cell>
        </row>
        <row r="1271">
          <cell r="A1271" t="str">
            <v>Целевые программы муниципальных образований </v>
          </cell>
          <cell r="B1271" t="str">
            <v>901</v>
          </cell>
          <cell r="C1271" t="str">
            <v>08</v>
          </cell>
          <cell r="D1271" t="str">
            <v>06</v>
          </cell>
          <cell r="E1271" t="str">
            <v>795 00 00</v>
          </cell>
          <cell r="F1271" t="str">
            <v>000</v>
          </cell>
        </row>
        <row r="1272">
          <cell r="A1272" t="str">
            <v>Государственная поддержка в сфере культуры, кинематографии и средств массовой информации </v>
          </cell>
          <cell r="B1272" t="str">
            <v>901</v>
          </cell>
          <cell r="C1272" t="str">
            <v>08</v>
          </cell>
          <cell r="D1272" t="str">
            <v>06</v>
          </cell>
          <cell r="E1272" t="str">
            <v>795 00 00</v>
          </cell>
          <cell r="F1272" t="str">
            <v>453</v>
          </cell>
        </row>
        <row r="1273">
          <cell r="A1273" t="str">
            <v>Прочие расходы </v>
          </cell>
          <cell r="B1273" t="str">
            <v>901</v>
          </cell>
          <cell r="C1273" t="str">
            <v>08</v>
          </cell>
          <cell r="D1273" t="str">
            <v>06</v>
          </cell>
          <cell r="E1273" t="str">
            <v>795 00 00</v>
          </cell>
          <cell r="F1273" t="str">
            <v>453</v>
          </cell>
        </row>
        <row r="1274">
          <cell r="A1274" t="str">
            <v>Поступление нефинансовых активов</v>
          </cell>
          <cell r="B1274" t="str">
            <v>901</v>
          </cell>
          <cell r="C1274" t="str">
            <v>08</v>
          </cell>
          <cell r="D1274" t="str">
            <v>06</v>
          </cell>
          <cell r="E1274" t="str">
            <v>795 00 00</v>
          </cell>
          <cell r="F1274" t="str">
            <v>453</v>
          </cell>
        </row>
        <row r="1275">
          <cell r="A1275" t="str">
            <v>Увеличение стоимости основных средств</v>
          </cell>
          <cell r="B1275" t="str">
            <v>901</v>
          </cell>
          <cell r="C1275" t="str">
            <v>08</v>
          </cell>
          <cell r="D1275" t="str">
            <v>06</v>
          </cell>
          <cell r="E1275" t="str">
            <v>795 00 00</v>
          </cell>
          <cell r="F1275" t="str">
            <v>453</v>
          </cell>
        </row>
        <row r="1276">
          <cell r="A1276" t="str">
            <v>Культура, кинематография </v>
          </cell>
          <cell r="C1276" t="str">
            <v>08</v>
          </cell>
          <cell r="D1276" t="str">
            <v>00</v>
          </cell>
          <cell r="E1276" t="str">
            <v>000 00 00</v>
          </cell>
          <cell r="F1276" t="str">
            <v>000</v>
          </cell>
        </row>
        <row r="1277">
          <cell r="A1277" t="str">
            <v>Расходы</v>
          </cell>
          <cell r="C1277" t="str">
            <v>08</v>
          </cell>
          <cell r="D1277" t="str">
            <v>00</v>
          </cell>
          <cell r="E1277" t="str">
            <v>000 00 00</v>
          </cell>
          <cell r="F1277" t="str">
            <v>000</v>
          </cell>
        </row>
        <row r="1278">
          <cell r="A1278" t="str">
            <v>Оплата труда и начисления на оплату труда</v>
          </cell>
          <cell r="C1278" t="str">
            <v>08</v>
          </cell>
          <cell r="D1278" t="str">
            <v>00</v>
          </cell>
          <cell r="E1278" t="str">
            <v>000 00 00</v>
          </cell>
          <cell r="F1278" t="str">
            <v>000</v>
          </cell>
        </row>
        <row r="1279">
          <cell r="A1279" t="str">
            <v>Заработная плата</v>
          </cell>
          <cell r="C1279" t="str">
            <v>08</v>
          </cell>
          <cell r="D1279" t="str">
            <v>00</v>
          </cell>
          <cell r="E1279" t="str">
            <v>000 00 00</v>
          </cell>
          <cell r="F1279" t="str">
            <v>000</v>
          </cell>
        </row>
        <row r="1280">
          <cell r="A1280" t="str">
            <v>Прочие выплаты</v>
          </cell>
          <cell r="C1280" t="str">
            <v>08</v>
          </cell>
          <cell r="D1280" t="str">
            <v>00</v>
          </cell>
          <cell r="E1280" t="str">
            <v>000 00 00</v>
          </cell>
          <cell r="F1280" t="str">
            <v>000</v>
          </cell>
        </row>
        <row r="1281">
          <cell r="A1281" t="str">
            <v>Начисление на оплату труда</v>
          </cell>
          <cell r="C1281" t="str">
            <v>08</v>
          </cell>
          <cell r="D1281" t="str">
            <v>00</v>
          </cell>
          <cell r="E1281" t="str">
            <v>000 00 00</v>
          </cell>
          <cell r="F1281" t="str">
            <v>000</v>
          </cell>
        </row>
        <row r="1282">
          <cell r="A1282" t="str">
            <v>Приобретение услуг</v>
          </cell>
          <cell r="C1282" t="str">
            <v>08</v>
          </cell>
          <cell r="D1282" t="str">
            <v>00</v>
          </cell>
          <cell r="E1282" t="str">
            <v>000 00 00</v>
          </cell>
          <cell r="F1282" t="str">
            <v>000</v>
          </cell>
        </row>
        <row r="1283">
          <cell r="A1283" t="str">
            <v>Услуги связи </v>
          </cell>
          <cell r="C1283" t="str">
            <v>08</v>
          </cell>
          <cell r="D1283" t="str">
            <v>00</v>
          </cell>
          <cell r="E1283" t="str">
            <v>000 00 00</v>
          </cell>
          <cell r="F1283" t="str">
            <v>000</v>
          </cell>
        </row>
        <row r="1284">
          <cell r="A1284" t="str">
            <v>Транспортные услуги</v>
          </cell>
          <cell r="C1284" t="str">
            <v>08</v>
          </cell>
          <cell r="D1284" t="str">
            <v>00</v>
          </cell>
          <cell r="E1284" t="str">
            <v>000 00 00</v>
          </cell>
          <cell r="F1284" t="str">
            <v>000</v>
          </cell>
        </row>
        <row r="1285">
          <cell r="A1285" t="str">
            <v>Коммунальные услуги</v>
          </cell>
          <cell r="C1285" t="str">
            <v>08</v>
          </cell>
          <cell r="D1285" t="str">
            <v>00</v>
          </cell>
          <cell r="E1285" t="str">
            <v>000 00 00</v>
          </cell>
          <cell r="F1285" t="str">
            <v>000</v>
          </cell>
        </row>
        <row r="1286">
          <cell r="A1286" t="str">
            <v>Арендная плата за пользование иммуществом </v>
          </cell>
          <cell r="C1286" t="str">
            <v>08</v>
          </cell>
          <cell r="D1286" t="str">
            <v>00</v>
          </cell>
          <cell r="E1286" t="str">
            <v>000 00 00</v>
          </cell>
          <cell r="F1286" t="str">
            <v>000</v>
          </cell>
        </row>
        <row r="1287">
          <cell r="A1287" t="str">
            <v>Услуги по содержанию иммущества</v>
          </cell>
          <cell r="C1287" t="str">
            <v>08</v>
          </cell>
          <cell r="D1287" t="str">
            <v>00</v>
          </cell>
          <cell r="E1287" t="str">
            <v>000 00 00</v>
          </cell>
          <cell r="F1287" t="str">
            <v>000</v>
          </cell>
        </row>
        <row r="1288">
          <cell r="A1288" t="str">
            <v>Прочие услуги</v>
          </cell>
          <cell r="C1288" t="str">
            <v>08</v>
          </cell>
          <cell r="D1288" t="str">
            <v>00</v>
          </cell>
          <cell r="E1288" t="str">
            <v>000 00 00</v>
          </cell>
          <cell r="F1288" t="str">
            <v>000</v>
          </cell>
        </row>
        <row r="1289">
          <cell r="A1289" t="str">
            <v>Прочие расходы</v>
          </cell>
          <cell r="C1289" t="str">
            <v>08</v>
          </cell>
          <cell r="D1289" t="str">
            <v>00</v>
          </cell>
          <cell r="E1289" t="str">
            <v>000 00 00</v>
          </cell>
          <cell r="F1289" t="str">
            <v>000</v>
          </cell>
        </row>
        <row r="1290">
          <cell r="A1290" t="str">
            <v>Поступление нефинансовых активов</v>
          </cell>
          <cell r="C1290" t="str">
            <v>08</v>
          </cell>
          <cell r="D1290" t="str">
            <v>00</v>
          </cell>
          <cell r="E1290" t="str">
            <v>000 00 00</v>
          </cell>
          <cell r="F1290" t="str">
            <v>000</v>
          </cell>
        </row>
        <row r="1291">
          <cell r="A1291" t="str">
            <v>Увеличение стоимости основных средств</v>
          </cell>
          <cell r="C1291" t="str">
            <v>08</v>
          </cell>
          <cell r="D1291" t="str">
            <v>00</v>
          </cell>
          <cell r="E1291" t="str">
            <v>000 00 00</v>
          </cell>
          <cell r="F1291" t="str">
            <v>000</v>
          </cell>
        </row>
        <row r="1292">
          <cell r="A1292" t="str">
            <v>Увеличение стоимости материальных запасов</v>
          </cell>
          <cell r="C1292" t="str">
            <v>08</v>
          </cell>
          <cell r="D1292" t="str">
            <v>00</v>
          </cell>
          <cell r="E1292" t="str">
            <v>000 00 00</v>
          </cell>
          <cell r="F1292" t="str">
            <v>000</v>
          </cell>
        </row>
        <row r="1293">
          <cell r="A1293" t="str">
            <v>ИТОГО:</v>
          </cell>
          <cell r="C1293" t="str">
            <v>08</v>
          </cell>
          <cell r="D1293" t="str">
            <v>00</v>
          </cell>
          <cell r="E1293" t="str">
            <v>000 00 00</v>
          </cell>
          <cell r="F1293" t="str">
            <v>000</v>
          </cell>
        </row>
        <row r="1294">
          <cell r="A1294" t="str">
            <v>Целевые программы муниципальных образований </v>
          </cell>
          <cell r="B1294" t="str">
            <v>905</v>
          </cell>
          <cell r="C1294" t="str">
            <v>08</v>
          </cell>
          <cell r="D1294" t="str">
            <v>04</v>
          </cell>
          <cell r="E1294" t="str">
            <v>795 00 00</v>
          </cell>
          <cell r="F1294" t="str">
            <v>000</v>
          </cell>
        </row>
        <row r="1295">
          <cell r="A1295" t="str">
            <v>Выполнение функций органами местного самоуправления</v>
          </cell>
          <cell r="B1295" t="str">
            <v>905</v>
          </cell>
          <cell r="C1295" t="str">
            <v>08</v>
          </cell>
          <cell r="D1295" t="str">
            <v>04</v>
          </cell>
          <cell r="E1295" t="str">
            <v>795 00 00</v>
          </cell>
          <cell r="F1295" t="str">
            <v>500</v>
          </cell>
        </row>
        <row r="1296">
          <cell r="A1296" t="str">
            <v>Обеспечение техники безопасности в ужреждениях культуры Усольского района на 2012-2014 гг</v>
          </cell>
          <cell r="B1296" t="str">
            <v>905</v>
          </cell>
          <cell r="C1296" t="str">
            <v>08</v>
          </cell>
          <cell r="D1296" t="str">
            <v>04</v>
          </cell>
          <cell r="E1296" t="str">
            <v>795 35 00</v>
          </cell>
          <cell r="F1296" t="str">
            <v>500</v>
          </cell>
        </row>
        <row r="1297">
          <cell r="A1297" t="str">
            <v>Здравоохранение</v>
          </cell>
          <cell r="B1297" t="str">
            <v>904</v>
          </cell>
          <cell r="C1297" t="str">
            <v>09</v>
          </cell>
          <cell r="D1297" t="str">
            <v>00</v>
          </cell>
          <cell r="E1297" t="str">
            <v>000 00 00</v>
          </cell>
          <cell r="F1297" t="str">
            <v>000</v>
          </cell>
        </row>
        <row r="1298">
          <cell r="A1298" t="str">
            <v>Стационарная медицинская помощь</v>
          </cell>
          <cell r="B1298" t="str">
            <v>904</v>
          </cell>
          <cell r="C1298" t="str">
            <v>09</v>
          </cell>
          <cell r="D1298" t="str">
            <v>01</v>
          </cell>
          <cell r="E1298" t="str">
            <v>000 00 00</v>
          </cell>
          <cell r="F1298" t="str">
            <v>000</v>
          </cell>
        </row>
        <row r="1299">
          <cell r="A1299" t="str">
            <v>Больницы, клиники, госпитали, медико-санитарные части</v>
          </cell>
          <cell r="B1299" t="str">
            <v>904</v>
          </cell>
          <cell r="C1299" t="str">
            <v>09</v>
          </cell>
          <cell r="D1299" t="str">
            <v>01</v>
          </cell>
          <cell r="E1299" t="str">
            <v>002 00 00</v>
          </cell>
          <cell r="F1299" t="str">
            <v>000</v>
          </cell>
        </row>
        <row r="1300">
          <cell r="A1300" t="str">
            <v>Осуществление отдельных областных государственных полномочий в области охраны здоровья граждан</v>
          </cell>
          <cell r="B1300" t="str">
            <v>904</v>
          </cell>
          <cell r="C1300" t="str">
            <v>09</v>
          </cell>
          <cell r="D1300" t="str">
            <v>01</v>
          </cell>
          <cell r="E1300" t="str">
            <v>002 52 00</v>
          </cell>
          <cell r="F1300" t="str">
            <v>000</v>
          </cell>
        </row>
        <row r="1301">
          <cell r="A1301" t="str">
            <v>Выполнение функций бюджетными учреждениями</v>
          </cell>
          <cell r="B1301" t="str">
            <v>904</v>
          </cell>
          <cell r="C1301" t="str">
            <v>09</v>
          </cell>
          <cell r="D1301" t="str">
            <v>01</v>
          </cell>
          <cell r="E1301" t="str">
            <v>002 52 00</v>
          </cell>
          <cell r="F1301" t="str">
            <v>001</v>
          </cell>
        </row>
        <row r="1302">
          <cell r="A1302" t="str">
            <v>Субсидии некоммерческим организациям</v>
          </cell>
          <cell r="B1302" t="str">
            <v>904 </v>
          </cell>
          <cell r="C1302" t="str">
            <v>09</v>
          </cell>
          <cell r="D1302" t="str">
            <v>01</v>
          </cell>
          <cell r="E1302" t="str">
            <v>002 52 00</v>
          </cell>
          <cell r="F1302" t="str">
            <v>019</v>
          </cell>
        </row>
        <row r="1303">
          <cell r="A1303" t="str">
            <v>Больницы, клиники, госпитали, медико-санитарные части</v>
          </cell>
          <cell r="B1303" t="str">
            <v>904</v>
          </cell>
          <cell r="C1303" t="str">
            <v>09</v>
          </cell>
          <cell r="D1303" t="str">
            <v>01</v>
          </cell>
          <cell r="E1303" t="str">
            <v>470 00 00</v>
          </cell>
          <cell r="F1303" t="str">
            <v>000</v>
          </cell>
        </row>
        <row r="1304">
          <cell r="A1304" t="str">
            <v>Обеспечение деятельности подведомственных учреждений</v>
          </cell>
          <cell r="B1304" t="str">
            <v>904</v>
          </cell>
          <cell r="C1304" t="str">
            <v>09</v>
          </cell>
          <cell r="D1304" t="str">
            <v>01</v>
          </cell>
          <cell r="E1304" t="str">
            <v>470 99 00</v>
          </cell>
          <cell r="F1304" t="str">
            <v>000</v>
          </cell>
        </row>
        <row r="1305">
          <cell r="A1305" t="str">
            <v>Выполнение функций бюджетными учреждениями</v>
          </cell>
          <cell r="B1305" t="str">
            <v>904</v>
          </cell>
          <cell r="C1305" t="str">
            <v>09</v>
          </cell>
          <cell r="D1305" t="str">
            <v>01</v>
          </cell>
          <cell r="E1305" t="str">
            <v>470 99 00</v>
          </cell>
          <cell r="F1305" t="str">
            <v>001</v>
          </cell>
        </row>
        <row r="1306">
          <cell r="A1306" t="str">
            <v>Расходы</v>
          </cell>
          <cell r="B1306" t="str">
            <v>904</v>
          </cell>
          <cell r="C1306" t="str">
            <v>09</v>
          </cell>
          <cell r="D1306" t="str">
            <v>01</v>
          </cell>
          <cell r="E1306" t="str">
            <v>470 99 00</v>
          </cell>
          <cell r="F1306" t="str">
            <v>001</v>
          </cell>
        </row>
        <row r="1307">
          <cell r="A1307" t="str">
            <v>Оплата труда и начисления на оплату труда</v>
          </cell>
          <cell r="B1307" t="str">
            <v>904</v>
          </cell>
          <cell r="C1307" t="str">
            <v>09</v>
          </cell>
          <cell r="D1307" t="str">
            <v>01</v>
          </cell>
          <cell r="E1307" t="str">
            <v>470 99 00</v>
          </cell>
          <cell r="F1307" t="str">
            <v>001</v>
          </cell>
        </row>
        <row r="1308">
          <cell r="A1308" t="str">
            <v>Заработная плата</v>
          </cell>
          <cell r="B1308" t="str">
            <v>904</v>
          </cell>
          <cell r="C1308" t="str">
            <v>09</v>
          </cell>
          <cell r="D1308" t="str">
            <v>01</v>
          </cell>
          <cell r="E1308" t="str">
            <v>470 99 00</v>
          </cell>
          <cell r="F1308" t="str">
            <v>001</v>
          </cell>
        </row>
        <row r="1309">
          <cell r="A1309" t="str">
            <v>Прочие выплаты</v>
          </cell>
          <cell r="B1309" t="str">
            <v>904</v>
          </cell>
          <cell r="C1309" t="str">
            <v>09</v>
          </cell>
          <cell r="D1309" t="str">
            <v>01</v>
          </cell>
          <cell r="E1309" t="str">
            <v>470 99 00</v>
          </cell>
          <cell r="F1309" t="str">
            <v>001</v>
          </cell>
        </row>
        <row r="1310">
          <cell r="A1310" t="str">
            <v>Начисление на оплату труда</v>
          </cell>
          <cell r="B1310" t="str">
            <v>904</v>
          </cell>
          <cell r="C1310" t="str">
            <v>09</v>
          </cell>
          <cell r="D1310" t="str">
            <v>01</v>
          </cell>
          <cell r="E1310" t="str">
            <v>470 99 00</v>
          </cell>
          <cell r="F1310" t="str">
            <v>001</v>
          </cell>
        </row>
        <row r="1311">
          <cell r="A1311" t="str">
            <v>Приобретение услуг</v>
          </cell>
          <cell r="B1311" t="str">
            <v>904</v>
          </cell>
          <cell r="C1311" t="str">
            <v>09</v>
          </cell>
          <cell r="D1311" t="str">
            <v>01</v>
          </cell>
          <cell r="E1311" t="str">
            <v>470 99 00</v>
          </cell>
          <cell r="F1311" t="str">
            <v>001</v>
          </cell>
        </row>
        <row r="1312">
          <cell r="A1312" t="str">
            <v>Услуги связи </v>
          </cell>
          <cell r="B1312" t="str">
            <v>904</v>
          </cell>
          <cell r="C1312" t="str">
            <v>09</v>
          </cell>
          <cell r="D1312" t="str">
            <v>01</v>
          </cell>
          <cell r="E1312" t="str">
            <v>470 99 00</v>
          </cell>
          <cell r="F1312" t="str">
            <v>001</v>
          </cell>
        </row>
        <row r="1313">
          <cell r="A1313" t="str">
            <v>Транспортные услуги</v>
          </cell>
          <cell r="B1313" t="str">
            <v>904</v>
          </cell>
          <cell r="C1313" t="str">
            <v>09</v>
          </cell>
          <cell r="D1313" t="str">
            <v>01</v>
          </cell>
          <cell r="E1313" t="str">
            <v>470 99 00</v>
          </cell>
          <cell r="F1313" t="str">
            <v>001</v>
          </cell>
        </row>
        <row r="1314">
          <cell r="A1314" t="str">
            <v>Коммунальные услуги</v>
          </cell>
          <cell r="B1314" t="str">
            <v>904</v>
          </cell>
          <cell r="C1314" t="str">
            <v>09</v>
          </cell>
          <cell r="D1314" t="str">
            <v>01</v>
          </cell>
          <cell r="E1314" t="str">
            <v>470 99 00</v>
          </cell>
          <cell r="F1314" t="str">
            <v>001</v>
          </cell>
        </row>
        <row r="1315">
          <cell r="A1315" t="str">
            <v>Арендная плата за пользование иммуществом </v>
          </cell>
          <cell r="B1315" t="str">
            <v>904</v>
          </cell>
          <cell r="C1315" t="str">
            <v>09</v>
          </cell>
          <cell r="D1315" t="str">
            <v>01</v>
          </cell>
          <cell r="E1315" t="str">
            <v>470 99 00</v>
          </cell>
          <cell r="F1315" t="str">
            <v>001</v>
          </cell>
        </row>
        <row r="1316">
          <cell r="A1316" t="str">
            <v>Услуги по содержанию иммущества</v>
          </cell>
          <cell r="B1316" t="str">
            <v>904</v>
          </cell>
          <cell r="C1316" t="str">
            <v>09</v>
          </cell>
          <cell r="D1316" t="str">
            <v>01</v>
          </cell>
          <cell r="E1316" t="str">
            <v>470 99 00</v>
          </cell>
          <cell r="F1316" t="str">
            <v>001</v>
          </cell>
        </row>
        <row r="1317">
          <cell r="A1317" t="str">
            <v>Услуги по содержанию иммущества 8,40,00</v>
          </cell>
          <cell r="B1317" t="str">
            <v>904</v>
          </cell>
          <cell r="C1317" t="str">
            <v>09</v>
          </cell>
          <cell r="D1317" t="str">
            <v>01</v>
          </cell>
          <cell r="E1317" t="str">
            <v>470 99 00</v>
          </cell>
          <cell r="F1317" t="str">
            <v>001</v>
          </cell>
        </row>
        <row r="1318">
          <cell r="A1318" t="str">
            <v>Услуги по содержанию иммущества 8,40,01</v>
          </cell>
          <cell r="B1318" t="str">
            <v>904</v>
          </cell>
          <cell r="C1318" t="str">
            <v>09</v>
          </cell>
          <cell r="D1318" t="str">
            <v>01</v>
          </cell>
          <cell r="E1318" t="str">
            <v>470 99 00</v>
          </cell>
          <cell r="F1318" t="str">
            <v>001</v>
          </cell>
        </row>
        <row r="1319">
          <cell r="A1319" t="str">
            <v>Услуги по содержанию иммущества 8,40,02</v>
          </cell>
          <cell r="B1319" t="str">
            <v>904</v>
          </cell>
          <cell r="C1319" t="str">
            <v>09</v>
          </cell>
          <cell r="D1319" t="str">
            <v>01</v>
          </cell>
          <cell r="E1319" t="str">
            <v>470 99 00</v>
          </cell>
          <cell r="F1319" t="str">
            <v>001</v>
          </cell>
        </row>
        <row r="1320">
          <cell r="A1320" t="str">
            <v>Прочие услуги</v>
          </cell>
          <cell r="B1320" t="str">
            <v>904</v>
          </cell>
          <cell r="C1320" t="str">
            <v>09</v>
          </cell>
          <cell r="D1320" t="str">
            <v>01</v>
          </cell>
          <cell r="E1320" t="str">
            <v>470 99 00</v>
          </cell>
          <cell r="F1320" t="str">
            <v>001</v>
          </cell>
        </row>
        <row r="1321">
          <cell r="A1321" t="str">
            <v>Прочие услуги ПСД Тайтурка   </v>
          </cell>
          <cell r="B1321" t="str">
            <v>904</v>
          </cell>
          <cell r="C1321" t="str">
            <v>09</v>
          </cell>
          <cell r="D1321" t="str">
            <v>01</v>
          </cell>
          <cell r="E1321" t="str">
            <v>470 99 00</v>
          </cell>
          <cell r="F1321" t="str">
            <v>001</v>
          </cell>
        </row>
        <row r="1322">
          <cell r="A1322" t="str">
            <v>Прочие расходы </v>
          </cell>
          <cell r="B1322" t="str">
            <v>904</v>
          </cell>
          <cell r="C1322" t="str">
            <v>09</v>
          </cell>
          <cell r="D1322" t="str">
            <v>01</v>
          </cell>
          <cell r="E1322" t="str">
            <v>470 99 00</v>
          </cell>
          <cell r="F1322" t="str">
            <v>001</v>
          </cell>
        </row>
        <row r="1323">
          <cell r="A1323" t="str">
            <v>Поступление нефинансовых активов</v>
          </cell>
          <cell r="B1323" t="str">
            <v>904</v>
          </cell>
          <cell r="C1323" t="str">
            <v>09</v>
          </cell>
          <cell r="D1323" t="str">
            <v>01</v>
          </cell>
          <cell r="E1323" t="str">
            <v>470 99 00</v>
          </cell>
          <cell r="F1323" t="str">
            <v>001</v>
          </cell>
        </row>
        <row r="1324">
          <cell r="A1324" t="str">
            <v>Увеличение стоимости основных средств</v>
          </cell>
          <cell r="B1324" t="str">
            <v>904</v>
          </cell>
          <cell r="C1324" t="str">
            <v>09</v>
          </cell>
          <cell r="D1324" t="str">
            <v>01</v>
          </cell>
          <cell r="E1324" t="str">
            <v>470 99 00</v>
          </cell>
          <cell r="F1324" t="str">
            <v>001</v>
          </cell>
        </row>
        <row r="1325">
          <cell r="A1325" t="str">
            <v>Увеличение стоимости материальных запасов</v>
          </cell>
          <cell r="B1325" t="str">
            <v>904</v>
          </cell>
          <cell r="C1325" t="str">
            <v>09</v>
          </cell>
          <cell r="D1325" t="str">
            <v>01</v>
          </cell>
          <cell r="E1325" t="str">
            <v>470 99 00</v>
          </cell>
          <cell r="F1325" t="str">
            <v>001</v>
          </cell>
        </row>
        <row r="1326">
          <cell r="A1326" t="str">
            <v>8,40,02</v>
          </cell>
          <cell r="B1326" t="str">
            <v>904</v>
          </cell>
          <cell r="C1326" t="str">
            <v>09</v>
          </cell>
          <cell r="D1326" t="str">
            <v>01</v>
          </cell>
          <cell r="E1326" t="str">
            <v>470 99 00</v>
          </cell>
          <cell r="F1326" t="str">
            <v>001</v>
          </cell>
        </row>
        <row r="1327">
          <cell r="A1327" t="str">
            <v>Закупка автотранспотрных средств и коммунальной техники </v>
          </cell>
          <cell r="B1327" t="str">
            <v>904</v>
          </cell>
          <cell r="C1327" t="str">
            <v>09</v>
          </cell>
          <cell r="D1327" t="str">
            <v>01</v>
          </cell>
          <cell r="E1327" t="str">
            <v>340 07 02</v>
          </cell>
          <cell r="F1327" t="str">
            <v>001</v>
          </cell>
        </row>
        <row r="1328">
          <cell r="A1328" t="str">
            <v>Обеспечение деятельности подведомственных учреждений</v>
          </cell>
          <cell r="B1328" t="str">
            <v>904</v>
          </cell>
          <cell r="C1328" t="str">
            <v>09</v>
          </cell>
          <cell r="D1328" t="str">
            <v>01</v>
          </cell>
          <cell r="E1328" t="str">
            <v>340 07 02</v>
          </cell>
          <cell r="F1328" t="str">
            <v>001</v>
          </cell>
        </row>
        <row r="1329">
          <cell r="A1329" t="str">
            <v>Выполнение функций бюджетными учреждениями</v>
          </cell>
          <cell r="B1329" t="str">
            <v>904</v>
          </cell>
          <cell r="C1329" t="str">
            <v>09</v>
          </cell>
          <cell r="D1329" t="str">
            <v>01</v>
          </cell>
          <cell r="E1329" t="str">
            <v>340 07 02</v>
          </cell>
          <cell r="F1329" t="str">
            <v>001</v>
          </cell>
        </row>
        <row r="1330">
          <cell r="A1330" t="str">
            <v>Поступление нефинансовых активов</v>
          </cell>
          <cell r="B1330" t="str">
            <v>904</v>
          </cell>
          <cell r="C1330" t="str">
            <v>09</v>
          </cell>
          <cell r="D1330" t="str">
            <v>01</v>
          </cell>
          <cell r="E1330" t="str">
            <v>340 07 02</v>
          </cell>
          <cell r="F1330" t="str">
            <v>001</v>
          </cell>
        </row>
        <row r="1331">
          <cell r="A1331" t="str">
            <v>Увеличение стоимости основных средств</v>
          </cell>
          <cell r="B1331" t="str">
            <v>904</v>
          </cell>
          <cell r="C1331" t="str">
            <v>09</v>
          </cell>
          <cell r="D1331" t="str">
            <v>01</v>
          </cell>
          <cell r="E1331" t="str">
            <v>340 07 02</v>
          </cell>
          <cell r="F1331" t="str">
            <v>001</v>
          </cell>
        </row>
        <row r="1332">
          <cell r="A1332" t="str">
            <v>Субсидии некоммерческим организациям</v>
          </cell>
          <cell r="B1332" t="str">
            <v>904</v>
          </cell>
          <cell r="C1332" t="str">
            <v>09</v>
          </cell>
          <cell r="D1332" t="str">
            <v>01</v>
          </cell>
          <cell r="E1332" t="str">
            <v>470 99 00</v>
          </cell>
          <cell r="F1332" t="str">
            <v>019</v>
          </cell>
        </row>
        <row r="1333">
          <cell r="A1333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333" t="str">
            <v>904</v>
          </cell>
          <cell r="C1333" t="str">
            <v>09</v>
          </cell>
          <cell r="D1333" t="str">
            <v>01</v>
          </cell>
          <cell r="E1333" t="str">
            <v>590 00 00</v>
          </cell>
          <cell r="F1333" t="str">
            <v>000</v>
          </cell>
        </row>
        <row r="1334">
          <cell r="A1334" t="str">
            <v>Выполнение функций бюджетными учреждениями</v>
          </cell>
          <cell r="B1334" t="str">
            <v>904</v>
          </cell>
          <cell r="C1334" t="str">
            <v>09</v>
          </cell>
          <cell r="D1334" t="str">
            <v>01</v>
          </cell>
          <cell r="E1334" t="str">
            <v>590 00 00</v>
          </cell>
          <cell r="F1334" t="str">
            <v>001</v>
          </cell>
        </row>
        <row r="1335">
          <cell r="A1335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1335" t="str">
            <v>904</v>
          </cell>
          <cell r="C1335" t="str">
            <v>09</v>
          </cell>
          <cell r="D1335" t="str">
            <v>01</v>
          </cell>
          <cell r="E1335" t="str">
            <v>594 00 00</v>
          </cell>
          <cell r="F1335" t="str">
            <v>000</v>
          </cell>
        </row>
        <row r="1336">
          <cell r="A1336" t="str">
            <v>Субсидии некоммерческим организациям</v>
          </cell>
          <cell r="B1336" t="str">
            <v>904</v>
          </cell>
          <cell r="C1336" t="str">
            <v>09</v>
          </cell>
          <cell r="D1336" t="str">
            <v>01</v>
          </cell>
          <cell r="E1336" t="str">
            <v>594 00 00</v>
          </cell>
          <cell r="F1336" t="str">
            <v>019</v>
          </cell>
        </row>
        <row r="1337">
          <cell r="A1337" t="str">
            <v>Амбулаторная помощь</v>
          </cell>
          <cell r="B1337" t="str">
            <v>904</v>
          </cell>
          <cell r="C1337" t="str">
            <v>09</v>
          </cell>
          <cell r="D1337" t="str">
            <v>02</v>
          </cell>
          <cell r="E1337" t="str">
            <v>000 00 00</v>
          </cell>
          <cell r="F1337" t="str">
            <v>000</v>
          </cell>
        </row>
        <row r="1338">
          <cell r="A1338" t="str">
            <v>Больницы, клиники, госпитали, медико-санитарные части</v>
          </cell>
          <cell r="B1338" t="str">
            <v>904</v>
          </cell>
          <cell r="C1338" t="str">
            <v>09</v>
          </cell>
          <cell r="D1338" t="str">
            <v>02</v>
          </cell>
          <cell r="E1338" t="str">
            <v>002 00 00</v>
          </cell>
          <cell r="F1338" t="str">
            <v>000</v>
          </cell>
        </row>
        <row r="1339">
          <cell r="A1339" t="str">
            <v>Осуществление отдельных областных государственных полномочий в области охраны здоровья граждан</v>
          </cell>
          <cell r="B1339" t="str">
            <v>904</v>
          </cell>
          <cell r="C1339" t="str">
            <v>09</v>
          </cell>
          <cell r="D1339" t="str">
            <v>02</v>
          </cell>
          <cell r="E1339" t="str">
            <v>002 52 00</v>
          </cell>
          <cell r="F1339" t="str">
            <v>000</v>
          </cell>
        </row>
        <row r="1340">
          <cell r="A1340" t="str">
            <v>Выполнение функций бюджетными учреждениями</v>
          </cell>
          <cell r="B1340" t="str">
            <v>904</v>
          </cell>
          <cell r="C1340" t="str">
            <v>09</v>
          </cell>
          <cell r="D1340" t="str">
            <v>02</v>
          </cell>
          <cell r="E1340" t="str">
            <v>002 52 00</v>
          </cell>
          <cell r="F1340" t="str">
            <v>001</v>
          </cell>
        </row>
        <row r="1341">
          <cell r="A1341" t="str">
            <v>Субсидии некоммерческим организациям</v>
          </cell>
          <cell r="B1341" t="str">
            <v>904</v>
          </cell>
          <cell r="C1341" t="str">
            <v>09</v>
          </cell>
          <cell r="D1341" t="str">
            <v>02</v>
          </cell>
          <cell r="E1341" t="str">
            <v>002 52 00</v>
          </cell>
          <cell r="F1341" t="str">
            <v>019</v>
          </cell>
        </row>
        <row r="1342">
          <cell r="A1342" t="str">
            <v>Больницы, клиники, госпитали, медико-санитарные части</v>
          </cell>
          <cell r="B1342" t="str">
            <v>904</v>
          </cell>
          <cell r="C1342" t="str">
            <v>09</v>
          </cell>
          <cell r="D1342" t="str">
            <v>02</v>
          </cell>
          <cell r="E1342" t="str">
            <v>470 00 00</v>
          </cell>
          <cell r="F1342" t="str">
            <v>000</v>
          </cell>
        </row>
        <row r="1343">
          <cell r="A1343" t="str">
            <v>Обеспечение деятельности подведомственных учреждений</v>
          </cell>
          <cell r="B1343" t="str">
            <v>904</v>
          </cell>
          <cell r="C1343" t="str">
            <v>09</v>
          </cell>
          <cell r="D1343" t="str">
            <v>02</v>
          </cell>
          <cell r="E1343" t="str">
            <v>470 99 00</v>
          </cell>
          <cell r="F1343" t="str">
            <v>000</v>
          </cell>
        </row>
        <row r="1344">
          <cell r="A1344" t="str">
            <v>Выполнение функций бюджетными учреждениями</v>
          </cell>
          <cell r="B1344" t="str">
            <v>904</v>
          </cell>
          <cell r="C1344" t="str">
            <v>09</v>
          </cell>
          <cell r="D1344" t="str">
            <v>02</v>
          </cell>
          <cell r="E1344" t="str">
            <v>470 99 00</v>
          </cell>
          <cell r="F1344" t="str">
            <v>001</v>
          </cell>
        </row>
        <row r="1345">
          <cell r="A1345" t="str">
            <v>Расходы</v>
          </cell>
          <cell r="B1345" t="str">
            <v>904</v>
          </cell>
          <cell r="C1345" t="str">
            <v>09</v>
          </cell>
          <cell r="D1345" t="str">
            <v>02</v>
          </cell>
          <cell r="E1345" t="str">
            <v>470 99 00</v>
          </cell>
          <cell r="F1345" t="str">
            <v>001</v>
          </cell>
        </row>
        <row r="1346">
          <cell r="A1346" t="str">
            <v>Оплата труда и начисления на оплату труда</v>
          </cell>
          <cell r="B1346" t="str">
            <v>904</v>
          </cell>
          <cell r="C1346" t="str">
            <v>09</v>
          </cell>
          <cell r="D1346" t="str">
            <v>02</v>
          </cell>
          <cell r="E1346" t="str">
            <v>470 99 00</v>
          </cell>
          <cell r="F1346" t="str">
            <v>001</v>
          </cell>
        </row>
        <row r="1347">
          <cell r="A1347" t="str">
            <v>Заработная плата</v>
          </cell>
          <cell r="B1347" t="str">
            <v>904</v>
          </cell>
          <cell r="C1347" t="str">
            <v>09</v>
          </cell>
          <cell r="D1347" t="str">
            <v>02</v>
          </cell>
          <cell r="E1347" t="str">
            <v>470 99 00</v>
          </cell>
          <cell r="F1347" t="str">
            <v>001</v>
          </cell>
        </row>
        <row r="1348">
          <cell r="A1348" t="str">
            <v>Прочие выплаты</v>
          </cell>
          <cell r="B1348" t="str">
            <v>904</v>
          </cell>
          <cell r="C1348" t="str">
            <v>09</v>
          </cell>
          <cell r="D1348" t="str">
            <v>02</v>
          </cell>
          <cell r="E1348" t="str">
            <v>470 99 00</v>
          </cell>
          <cell r="F1348" t="str">
            <v>001</v>
          </cell>
        </row>
        <row r="1349">
          <cell r="A1349" t="str">
            <v>Начисление на оплату труда</v>
          </cell>
          <cell r="B1349" t="str">
            <v>904</v>
          </cell>
          <cell r="C1349" t="str">
            <v>09</v>
          </cell>
          <cell r="D1349" t="str">
            <v>02</v>
          </cell>
          <cell r="E1349" t="str">
            <v>470 99 00</v>
          </cell>
          <cell r="F1349" t="str">
            <v>001</v>
          </cell>
        </row>
        <row r="1350">
          <cell r="A1350" t="str">
            <v>Приобретение услуг</v>
          </cell>
          <cell r="B1350" t="str">
            <v>904</v>
          </cell>
          <cell r="C1350" t="str">
            <v>09</v>
          </cell>
          <cell r="D1350" t="str">
            <v>02</v>
          </cell>
          <cell r="E1350" t="str">
            <v>470 99 00</v>
          </cell>
          <cell r="F1350" t="str">
            <v>001</v>
          </cell>
        </row>
        <row r="1351">
          <cell r="A1351" t="str">
            <v>Услуги связи </v>
          </cell>
          <cell r="B1351" t="str">
            <v>904</v>
          </cell>
          <cell r="C1351" t="str">
            <v>09</v>
          </cell>
          <cell r="D1351" t="str">
            <v>02</v>
          </cell>
          <cell r="E1351" t="str">
            <v>470 99 00</v>
          </cell>
          <cell r="F1351" t="str">
            <v>001</v>
          </cell>
        </row>
        <row r="1352">
          <cell r="A1352" t="str">
            <v>Транспортные услуги</v>
          </cell>
          <cell r="B1352" t="str">
            <v>904</v>
          </cell>
          <cell r="C1352" t="str">
            <v>09</v>
          </cell>
          <cell r="D1352" t="str">
            <v>02</v>
          </cell>
          <cell r="E1352" t="str">
            <v>470 99 00</v>
          </cell>
          <cell r="F1352" t="str">
            <v>001</v>
          </cell>
        </row>
        <row r="1353">
          <cell r="A1353" t="str">
            <v>Коммунальные услуги</v>
          </cell>
          <cell r="B1353" t="str">
            <v>904</v>
          </cell>
          <cell r="C1353" t="str">
            <v>09</v>
          </cell>
          <cell r="D1353" t="str">
            <v>02</v>
          </cell>
          <cell r="E1353" t="str">
            <v>470 99 00</v>
          </cell>
          <cell r="F1353" t="str">
            <v>001</v>
          </cell>
        </row>
        <row r="1354">
          <cell r="A1354" t="str">
            <v>Арендная плата за пользование иммуществом </v>
          </cell>
          <cell r="B1354" t="str">
            <v>904</v>
          </cell>
          <cell r="C1354" t="str">
            <v>09</v>
          </cell>
          <cell r="D1354" t="str">
            <v>02</v>
          </cell>
          <cell r="E1354" t="str">
            <v>470 99 00</v>
          </cell>
          <cell r="F1354" t="str">
            <v>001</v>
          </cell>
        </row>
        <row r="1355">
          <cell r="A1355" t="str">
            <v>Услуги по содержанию иммущества</v>
          </cell>
          <cell r="B1355" t="str">
            <v>904</v>
          </cell>
          <cell r="C1355" t="str">
            <v>09</v>
          </cell>
          <cell r="D1355" t="str">
            <v>02</v>
          </cell>
          <cell r="E1355" t="str">
            <v>470 99 00</v>
          </cell>
          <cell r="F1355" t="str">
            <v>001</v>
          </cell>
        </row>
        <row r="1356">
          <cell r="A1356" t="str">
            <v>Услуги по содержанию иммущества 8,40,00</v>
          </cell>
          <cell r="B1356" t="str">
            <v>904</v>
          </cell>
          <cell r="C1356" t="str">
            <v>09</v>
          </cell>
          <cell r="D1356" t="str">
            <v>02</v>
          </cell>
          <cell r="E1356" t="str">
            <v>470 99 00</v>
          </cell>
          <cell r="F1356" t="str">
            <v>001</v>
          </cell>
        </row>
        <row r="1357">
          <cell r="A1357" t="str">
            <v>Прочие услуги</v>
          </cell>
          <cell r="B1357" t="str">
            <v>904</v>
          </cell>
          <cell r="C1357" t="str">
            <v>09</v>
          </cell>
          <cell r="D1357" t="str">
            <v>02</v>
          </cell>
          <cell r="E1357" t="str">
            <v>470 99 00</v>
          </cell>
          <cell r="F1357" t="str">
            <v>001</v>
          </cell>
        </row>
        <row r="1358">
          <cell r="A1358" t="str">
            <v>Прочие расходы </v>
          </cell>
          <cell r="B1358" t="str">
            <v>904</v>
          </cell>
          <cell r="C1358" t="str">
            <v>09</v>
          </cell>
          <cell r="D1358" t="str">
            <v>02</v>
          </cell>
          <cell r="E1358" t="str">
            <v>470 99 00</v>
          </cell>
          <cell r="F1358" t="str">
            <v>001</v>
          </cell>
        </row>
        <row r="1359">
          <cell r="A1359" t="str">
            <v>Поступление нефинансовых активов</v>
          </cell>
          <cell r="B1359" t="str">
            <v>904</v>
          </cell>
          <cell r="C1359" t="str">
            <v>09</v>
          </cell>
          <cell r="D1359" t="str">
            <v>02</v>
          </cell>
          <cell r="E1359" t="str">
            <v>470 99 00</v>
          </cell>
          <cell r="F1359" t="str">
            <v>001</v>
          </cell>
        </row>
        <row r="1360">
          <cell r="A1360" t="str">
            <v>Увеличение стоимости основных средств</v>
          </cell>
          <cell r="B1360" t="str">
            <v>904</v>
          </cell>
          <cell r="C1360" t="str">
            <v>09</v>
          </cell>
          <cell r="D1360" t="str">
            <v>02</v>
          </cell>
          <cell r="E1360" t="str">
            <v>470 99 00</v>
          </cell>
          <cell r="F1360" t="str">
            <v>001</v>
          </cell>
        </row>
        <row r="1361">
          <cell r="A1361" t="str">
            <v>Увеличение стоимости материальных запасов</v>
          </cell>
          <cell r="B1361" t="str">
            <v>904</v>
          </cell>
          <cell r="C1361" t="str">
            <v>09</v>
          </cell>
          <cell r="D1361" t="str">
            <v>02</v>
          </cell>
          <cell r="E1361" t="str">
            <v>470 99 00</v>
          </cell>
          <cell r="F1361" t="str">
            <v>001</v>
          </cell>
        </row>
        <row r="1362">
          <cell r="A1362" t="str">
            <v>Субсидии некоммерческим организациям</v>
          </cell>
          <cell r="B1362" t="str">
            <v>904</v>
          </cell>
          <cell r="C1362" t="str">
            <v>09</v>
          </cell>
          <cell r="D1362" t="str">
            <v>02</v>
          </cell>
          <cell r="E1362" t="str">
            <v>470 99 00</v>
          </cell>
          <cell r="F1362" t="str">
            <v>019</v>
          </cell>
        </row>
        <row r="1363">
          <cell r="A1363" t="str">
            <v>Поликлиники, амбулатории, диагностические центры</v>
          </cell>
          <cell r="B1363" t="str">
            <v>904</v>
          </cell>
          <cell r="C1363" t="str">
            <v>09</v>
          </cell>
          <cell r="D1363" t="str">
            <v>02</v>
          </cell>
          <cell r="E1363" t="str">
            <v>002 00 00</v>
          </cell>
          <cell r="F1363" t="str">
            <v>000</v>
          </cell>
        </row>
        <row r="1364">
          <cell r="A1364" t="str">
            <v>Осуществление отдельных областных государственных полномочий в области охраны здоровья граждан</v>
          </cell>
          <cell r="B1364" t="str">
            <v>904</v>
          </cell>
          <cell r="C1364" t="str">
            <v>09</v>
          </cell>
          <cell r="D1364" t="str">
            <v>02</v>
          </cell>
          <cell r="E1364" t="str">
            <v>002 52 00</v>
          </cell>
          <cell r="F1364" t="str">
            <v>000</v>
          </cell>
        </row>
        <row r="1365">
          <cell r="A1365" t="str">
            <v>Выполнение функций бюджетными учреждениями</v>
          </cell>
          <cell r="B1365" t="str">
            <v>904</v>
          </cell>
          <cell r="C1365" t="str">
            <v>09</v>
          </cell>
          <cell r="D1365" t="str">
            <v>02</v>
          </cell>
          <cell r="E1365" t="str">
            <v>002 52 00</v>
          </cell>
          <cell r="F1365" t="str">
            <v>001</v>
          </cell>
        </row>
        <row r="1366">
          <cell r="A1366" t="str">
            <v>Субсидии некоммерческим организациям</v>
          </cell>
          <cell r="B1366" t="str">
            <v>904</v>
          </cell>
          <cell r="C1366" t="str">
            <v>09</v>
          </cell>
          <cell r="D1366" t="str">
            <v>02</v>
          </cell>
          <cell r="E1366" t="str">
            <v>002 52 00</v>
          </cell>
          <cell r="F1366" t="str">
            <v>019</v>
          </cell>
        </row>
        <row r="1367">
          <cell r="A1367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367" t="str">
            <v>904</v>
          </cell>
          <cell r="C1367" t="str">
            <v>09</v>
          </cell>
          <cell r="D1367" t="str">
            <v>02</v>
          </cell>
          <cell r="E1367" t="str">
            <v>590 00 00</v>
          </cell>
          <cell r="F1367" t="str">
            <v>000</v>
          </cell>
        </row>
        <row r="1368">
          <cell r="A1368" t="str">
            <v>Выполнение функций бюджетными учреждениями</v>
          </cell>
          <cell r="B1368" t="str">
            <v>904</v>
          </cell>
          <cell r="C1368" t="str">
            <v>09</v>
          </cell>
          <cell r="D1368" t="str">
            <v>02</v>
          </cell>
          <cell r="E1368" t="str">
            <v>590 00 00</v>
          </cell>
          <cell r="F1368" t="str">
            <v>001</v>
          </cell>
        </row>
        <row r="1369">
          <cell r="A1369" t="str">
            <v>Поликлиники, амбулатории, диагностические центры</v>
          </cell>
          <cell r="B1369" t="str">
            <v>904</v>
          </cell>
          <cell r="C1369" t="str">
            <v>09</v>
          </cell>
          <cell r="D1369" t="str">
            <v>02</v>
          </cell>
          <cell r="E1369" t="str">
            <v>471 00 00</v>
          </cell>
          <cell r="F1369" t="str">
            <v>000</v>
          </cell>
        </row>
        <row r="1370">
          <cell r="A1370" t="str">
            <v>Обеспечение деятельности подведомственных учреждений</v>
          </cell>
          <cell r="B1370" t="str">
            <v>904</v>
          </cell>
          <cell r="C1370" t="str">
            <v>09</v>
          </cell>
          <cell r="D1370" t="str">
            <v>02</v>
          </cell>
          <cell r="E1370" t="str">
            <v>471 99 00</v>
          </cell>
          <cell r="F1370" t="str">
            <v>000</v>
          </cell>
        </row>
        <row r="1371">
          <cell r="A1371" t="str">
            <v>Выполнение функций бюджетными учреждениями</v>
          </cell>
          <cell r="B1371" t="str">
            <v>904</v>
          </cell>
          <cell r="C1371" t="str">
            <v>09</v>
          </cell>
          <cell r="D1371" t="str">
            <v>02</v>
          </cell>
          <cell r="E1371" t="str">
            <v>471 99 00</v>
          </cell>
          <cell r="F1371" t="str">
            <v>001</v>
          </cell>
        </row>
        <row r="1372">
          <cell r="A1372" t="str">
            <v>Расходы</v>
          </cell>
          <cell r="B1372" t="str">
            <v>904</v>
          </cell>
          <cell r="C1372" t="str">
            <v>09</v>
          </cell>
          <cell r="D1372" t="str">
            <v>02</v>
          </cell>
          <cell r="E1372" t="str">
            <v>471 99 00</v>
          </cell>
          <cell r="F1372" t="str">
            <v>001</v>
          </cell>
        </row>
        <row r="1373">
          <cell r="A1373" t="str">
            <v>Оплата труда и начисления на оплату труда</v>
          </cell>
          <cell r="B1373" t="str">
            <v>904</v>
          </cell>
          <cell r="C1373" t="str">
            <v>09</v>
          </cell>
          <cell r="D1373" t="str">
            <v>02</v>
          </cell>
          <cell r="E1373" t="str">
            <v>471 99 00</v>
          </cell>
          <cell r="F1373" t="str">
            <v>001</v>
          </cell>
        </row>
        <row r="1374">
          <cell r="A1374" t="str">
            <v>Заработная плата</v>
          </cell>
          <cell r="B1374" t="str">
            <v>904</v>
          </cell>
          <cell r="C1374" t="str">
            <v>09</v>
          </cell>
          <cell r="D1374" t="str">
            <v>02</v>
          </cell>
          <cell r="E1374" t="str">
            <v>471 99 00</v>
          </cell>
          <cell r="F1374" t="str">
            <v>001</v>
          </cell>
        </row>
        <row r="1375">
          <cell r="A1375" t="str">
            <v>Прочие выплаты</v>
          </cell>
          <cell r="B1375" t="str">
            <v>904</v>
          </cell>
          <cell r="C1375" t="str">
            <v>09</v>
          </cell>
          <cell r="D1375" t="str">
            <v>02</v>
          </cell>
          <cell r="E1375" t="str">
            <v>471 99 00</v>
          </cell>
          <cell r="F1375" t="str">
            <v>001</v>
          </cell>
        </row>
        <row r="1376">
          <cell r="A1376" t="str">
            <v>Начисление на оплату труда</v>
          </cell>
          <cell r="B1376" t="str">
            <v>904</v>
          </cell>
          <cell r="C1376" t="str">
            <v>09</v>
          </cell>
          <cell r="D1376" t="str">
            <v>02</v>
          </cell>
          <cell r="E1376" t="str">
            <v>471 99 00</v>
          </cell>
          <cell r="F1376" t="str">
            <v>001</v>
          </cell>
        </row>
        <row r="1377">
          <cell r="A1377" t="str">
            <v>Приобретение услуг</v>
          </cell>
          <cell r="B1377" t="str">
            <v>904</v>
          </cell>
          <cell r="C1377" t="str">
            <v>09</v>
          </cell>
          <cell r="D1377" t="str">
            <v>02</v>
          </cell>
          <cell r="E1377" t="str">
            <v>471 99 00</v>
          </cell>
          <cell r="F1377" t="str">
            <v>001</v>
          </cell>
        </row>
        <row r="1378">
          <cell r="A1378" t="str">
            <v>Услуги связи </v>
          </cell>
          <cell r="B1378" t="str">
            <v>904</v>
          </cell>
          <cell r="C1378" t="str">
            <v>09</v>
          </cell>
          <cell r="D1378" t="str">
            <v>02</v>
          </cell>
          <cell r="E1378" t="str">
            <v>471 99 00</v>
          </cell>
          <cell r="F1378" t="str">
            <v>001</v>
          </cell>
        </row>
        <row r="1379">
          <cell r="A1379" t="str">
            <v>Транспортные услуги</v>
          </cell>
          <cell r="B1379" t="str">
            <v>904</v>
          </cell>
          <cell r="C1379" t="str">
            <v>09</v>
          </cell>
          <cell r="D1379" t="str">
            <v>02</v>
          </cell>
          <cell r="E1379" t="str">
            <v>471 99 00</v>
          </cell>
          <cell r="F1379" t="str">
            <v>001</v>
          </cell>
        </row>
        <row r="1380">
          <cell r="A1380" t="str">
            <v>Коммунальные услуги</v>
          </cell>
          <cell r="B1380" t="str">
            <v>904</v>
          </cell>
          <cell r="C1380" t="str">
            <v>09</v>
          </cell>
          <cell r="D1380" t="str">
            <v>02</v>
          </cell>
          <cell r="E1380" t="str">
            <v>471 99 00</v>
          </cell>
          <cell r="F1380" t="str">
            <v>001</v>
          </cell>
        </row>
        <row r="1381">
          <cell r="A1381" t="str">
            <v>Арендная плата за пользование иммуществом </v>
          </cell>
          <cell r="B1381" t="str">
            <v>904</v>
          </cell>
          <cell r="C1381" t="str">
            <v>09</v>
          </cell>
          <cell r="D1381" t="str">
            <v>02</v>
          </cell>
          <cell r="E1381" t="str">
            <v>471 99 00</v>
          </cell>
          <cell r="F1381" t="str">
            <v>001</v>
          </cell>
        </row>
        <row r="1382">
          <cell r="A1382" t="str">
            <v>Услуги по содержанию иммущества</v>
          </cell>
          <cell r="B1382" t="str">
            <v>904</v>
          </cell>
          <cell r="C1382" t="str">
            <v>09</v>
          </cell>
          <cell r="D1382" t="str">
            <v>02</v>
          </cell>
          <cell r="E1382" t="str">
            <v>471 99 00</v>
          </cell>
          <cell r="F1382" t="str">
            <v>001</v>
          </cell>
        </row>
        <row r="1383">
          <cell r="A1383" t="str">
            <v>Услуги по содержанию иммущества 8,40,00</v>
          </cell>
          <cell r="B1383" t="str">
            <v>904</v>
          </cell>
          <cell r="C1383" t="str">
            <v>09</v>
          </cell>
          <cell r="D1383" t="str">
            <v>02</v>
          </cell>
          <cell r="E1383" t="str">
            <v>471 99 00</v>
          </cell>
          <cell r="F1383" t="str">
            <v>001</v>
          </cell>
        </row>
        <row r="1384">
          <cell r="A1384" t="str">
            <v>Прочие услуги</v>
          </cell>
          <cell r="B1384" t="str">
            <v>904</v>
          </cell>
          <cell r="C1384" t="str">
            <v>09</v>
          </cell>
          <cell r="D1384" t="str">
            <v>02</v>
          </cell>
          <cell r="E1384" t="str">
            <v>471 99 00</v>
          </cell>
          <cell r="F1384" t="str">
            <v>001</v>
          </cell>
        </row>
        <row r="1385">
          <cell r="A1385" t="str">
            <v>Прочие расходы </v>
          </cell>
          <cell r="B1385" t="str">
            <v>904</v>
          </cell>
          <cell r="C1385" t="str">
            <v>09</v>
          </cell>
          <cell r="D1385" t="str">
            <v>02</v>
          </cell>
          <cell r="E1385" t="str">
            <v>471 99 00</v>
          </cell>
          <cell r="F1385" t="str">
            <v>001</v>
          </cell>
        </row>
        <row r="1386">
          <cell r="A1386" t="str">
            <v>Поступление нефинансовых активов</v>
          </cell>
          <cell r="B1386" t="str">
            <v>904</v>
          </cell>
          <cell r="C1386" t="str">
            <v>09</v>
          </cell>
          <cell r="D1386" t="str">
            <v>02</v>
          </cell>
          <cell r="E1386" t="str">
            <v>471 99 00</v>
          </cell>
          <cell r="F1386" t="str">
            <v>001</v>
          </cell>
        </row>
        <row r="1387">
          <cell r="A1387" t="str">
            <v>Увеличение стоимости основных средств</v>
          </cell>
          <cell r="B1387" t="str">
            <v>904</v>
          </cell>
          <cell r="C1387" t="str">
            <v>09</v>
          </cell>
          <cell r="D1387" t="str">
            <v>02</v>
          </cell>
          <cell r="E1387" t="str">
            <v>471 99 00</v>
          </cell>
          <cell r="F1387" t="str">
            <v>001</v>
          </cell>
        </row>
        <row r="1388">
          <cell r="A1388" t="str">
            <v>Увеличение стоимости материальных запасов</v>
          </cell>
          <cell r="B1388" t="str">
            <v>904</v>
          </cell>
          <cell r="C1388" t="str">
            <v>09</v>
          </cell>
          <cell r="D1388" t="str">
            <v>02</v>
          </cell>
          <cell r="E1388" t="str">
            <v>471 99 00</v>
          </cell>
          <cell r="F1388" t="str">
            <v>001</v>
          </cell>
        </row>
        <row r="1389">
          <cell r="A1389" t="str">
            <v>Субсидии некоммерческим организациям</v>
          </cell>
          <cell r="B1389" t="str">
            <v>904</v>
          </cell>
          <cell r="C1389" t="str">
            <v>09</v>
          </cell>
          <cell r="D1389" t="str">
            <v>02</v>
          </cell>
          <cell r="E1389" t="str">
            <v>471 99 00</v>
          </cell>
          <cell r="F1389" t="str">
            <v>019</v>
          </cell>
        </row>
        <row r="1390">
          <cell r="A1390" t="str">
            <v>Иные безвозмездные и безвозвратные перечисления </v>
          </cell>
          <cell r="B1390" t="str">
            <v>904</v>
          </cell>
          <cell r="C1390" t="str">
            <v>09</v>
          </cell>
          <cell r="D1390" t="str">
            <v>02</v>
          </cell>
          <cell r="E1390" t="str">
            <v>520 00 00</v>
          </cell>
          <cell r="F1390" t="str">
            <v>000 </v>
          </cell>
        </row>
        <row r="1391">
          <cell r="A1391" t="str">
            <v>Денежные выплаты медицинскому персоналу фельдшерско-акушерских пунктов, врачам, фельдшерам и медицинским сестрам скорой медицинской помощи</v>
          </cell>
          <cell r="B1391" t="str">
            <v>904</v>
          </cell>
          <cell r="C1391" t="str">
            <v>09</v>
          </cell>
          <cell r="D1391" t="str">
            <v>02</v>
          </cell>
          <cell r="E1391" t="str">
            <v>520 18 00</v>
          </cell>
          <cell r="F1391" t="str">
            <v>000</v>
          </cell>
        </row>
        <row r="1392">
          <cell r="A1392" t="str">
            <v>Выполнение функций бюджетными учреждениями</v>
          </cell>
          <cell r="B1392" t="str">
            <v>904</v>
          </cell>
          <cell r="C1392" t="str">
            <v>09</v>
          </cell>
          <cell r="D1392" t="str">
            <v>02</v>
          </cell>
          <cell r="E1392" t="str">
            <v>520 18 00</v>
          </cell>
          <cell r="F1392" t="str">
            <v>001</v>
          </cell>
        </row>
        <row r="1393">
          <cell r="A1393" t="str">
            <v>Расходы</v>
          </cell>
          <cell r="B1393" t="str">
            <v>904</v>
          </cell>
          <cell r="C1393" t="str">
            <v>09</v>
          </cell>
          <cell r="D1393" t="str">
            <v>02</v>
          </cell>
          <cell r="E1393" t="str">
            <v>520 18 00</v>
          </cell>
          <cell r="F1393" t="str">
            <v>001</v>
          </cell>
        </row>
        <row r="1394">
          <cell r="A1394" t="str">
            <v>Оплата труда и начисления на оплату труда</v>
          </cell>
          <cell r="B1394" t="str">
            <v>904</v>
          </cell>
          <cell r="C1394" t="str">
            <v>09</v>
          </cell>
          <cell r="D1394" t="str">
            <v>02</v>
          </cell>
          <cell r="E1394" t="str">
            <v>520 18 00</v>
          </cell>
          <cell r="F1394" t="str">
            <v>001</v>
          </cell>
        </row>
        <row r="1395">
          <cell r="A1395" t="str">
            <v>Заработная плата</v>
          </cell>
          <cell r="B1395" t="str">
            <v>904</v>
          </cell>
          <cell r="C1395" t="str">
            <v>09</v>
          </cell>
          <cell r="D1395" t="str">
            <v>02</v>
          </cell>
          <cell r="E1395" t="str">
            <v>520 18 00</v>
          </cell>
          <cell r="F1395" t="str">
            <v>001</v>
          </cell>
        </row>
        <row r="1396">
          <cell r="A1396" t="str">
            <v>Начисление на оплату труда</v>
          </cell>
          <cell r="B1396" t="str">
            <v>904</v>
          </cell>
          <cell r="C1396" t="str">
            <v>09</v>
          </cell>
          <cell r="D1396" t="str">
            <v>02</v>
          </cell>
          <cell r="E1396" t="str">
            <v>520 18 00</v>
          </cell>
          <cell r="F1396" t="str">
            <v>001</v>
          </cell>
        </row>
        <row r="1397">
          <cell r="A1397" t="str">
            <v>Субсидии некоммерческим организациям</v>
          </cell>
          <cell r="B1397" t="str">
            <v>904</v>
          </cell>
          <cell r="C1397" t="str">
            <v>09</v>
          </cell>
          <cell r="D1397" t="str">
            <v>02</v>
          </cell>
          <cell r="E1397" t="str">
            <v>520 18 00</v>
          </cell>
          <cell r="F1397" t="str">
            <v>019</v>
          </cell>
        </row>
        <row r="1398">
          <cell r="A1398" t="str">
            <v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</v>
          </cell>
          <cell r="B1398" t="str">
            <v>904</v>
          </cell>
          <cell r="C1398" t="str">
            <v>09</v>
          </cell>
          <cell r="D1398" t="str">
            <v>02</v>
          </cell>
          <cell r="E1398" t="str">
            <v>590 00 00</v>
          </cell>
          <cell r="F1398" t="str">
            <v>000</v>
          </cell>
        </row>
        <row r="1399">
          <cell r="A1399" t="str">
            <v>Выполнение функций бюджетными учреждениями</v>
          </cell>
          <cell r="B1399" t="str">
            <v>904</v>
          </cell>
          <cell r="C1399" t="str">
            <v>09</v>
          </cell>
          <cell r="D1399" t="str">
            <v>02</v>
          </cell>
          <cell r="E1399" t="str">
            <v>590 00 00</v>
          </cell>
          <cell r="F1399" t="str">
            <v>001</v>
          </cell>
        </row>
        <row r="1400">
          <cell r="A1400" t="str">
            <v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</v>
          </cell>
          <cell r="B1400" t="str">
            <v>904</v>
          </cell>
          <cell r="C1400" t="str">
            <v>09</v>
          </cell>
          <cell r="D1400" t="str">
            <v>02</v>
          </cell>
          <cell r="E1400" t="str">
            <v>594 00 00</v>
          </cell>
          <cell r="F1400" t="str">
            <v>000</v>
          </cell>
        </row>
        <row r="1401">
          <cell r="A1401" t="str">
            <v>Субсидии некоммерческим организациям</v>
          </cell>
          <cell r="B1401" t="str">
            <v>904</v>
          </cell>
          <cell r="C1401" t="str">
            <v>09</v>
          </cell>
          <cell r="D1401" t="str">
            <v>02</v>
          </cell>
          <cell r="E1401" t="str">
            <v>594 00 00</v>
          </cell>
          <cell r="F1401" t="str">
            <v>019</v>
          </cell>
        </row>
        <row r="1402">
          <cell r="A1402" t="str">
            <v>Медицинская помощь в дневных стационарах всех типов</v>
          </cell>
          <cell r="B1402" t="str">
            <v>904</v>
          </cell>
          <cell r="C1402" t="str">
            <v>09</v>
          </cell>
          <cell r="D1402" t="str">
            <v>03</v>
          </cell>
          <cell r="E1402" t="str">
            <v>000 00 00</v>
          </cell>
          <cell r="F1402" t="str">
            <v>000</v>
          </cell>
        </row>
        <row r="1403">
          <cell r="A1403" t="str">
            <v>Больницы, клиники, госпитали, медико-санитарные части</v>
          </cell>
          <cell r="B1403" t="str">
            <v>904</v>
          </cell>
          <cell r="C1403" t="str">
            <v>09</v>
          </cell>
          <cell r="D1403" t="str">
            <v>03</v>
          </cell>
          <cell r="E1403" t="str">
            <v>002 00 00</v>
          </cell>
          <cell r="F1403" t="str">
            <v>000</v>
          </cell>
        </row>
        <row r="1404">
          <cell r="A1404" t="str">
            <v>Осуществление отдельных областных государственных полномочий в области охраны здоровья граждан</v>
          </cell>
          <cell r="B1404" t="str">
            <v>904</v>
          </cell>
          <cell r="C1404" t="str">
            <v>09</v>
          </cell>
          <cell r="D1404" t="str">
            <v>03</v>
          </cell>
          <cell r="E1404" t="str">
            <v>002 52 00</v>
          </cell>
          <cell r="F1404" t="str">
            <v>000</v>
          </cell>
        </row>
        <row r="1405">
          <cell r="A1405" t="str">
            <v>Выполнение функций бюджетными учреждениями</v>
          </cell>
          <cell r="B1405" t="str">
            <v>904</v>
          </cell>
          <cell r="C1405" t="str">
            <v>09</v>
          </cell>
          <cell r="D1405" t="str">
            <v>03</v>
          </cell>
          <cell r="E1405" t="str">
            <v>002 52 00</v>
          </cell>
          <cell r="F1405" t="str">
            <v>001</v>
          </cell>
        </row>
        <row r="1406">
          <cell r="A1406" t="str">
            <v>Субсидии некоммерческим организациям</v>
          </cell>
          <cell r="B1406" t="str">
            <v>904</v>
          </cell>
          <cell r="C1406" t="str">
            <v>09</v>
          </cell>
          <cell r="D1406" t="str">
            <v>03</v>
          </cell>
          <cell r="E1406" t="str">
            <v>002 52 00</v>
          </cell>
          <cell r="F1406" t="str">
            <v>019</v>
          </cell>
        </row>
        <row r="1407">
          <cell r="A1407" t="str">
            <v>Больницы, клиники, госпитали, медико-санитарные части</v>
          </cell>
          <cell r="B1407" t="str">
            <v>904</v>
          </cell>
          <cell r="C1407" t="str">
            <v>09</v>
          </cell>
          <cell r="D1407" t="str">
            <v>03</v>
          </cell>
          <cell r="E1407" t="str">
            <v>470 00 00</v>
          </cell>
          <cell r="F1407" t="str">
            <v>000</v>
          </cell>
        </row>
        <row r="1408">
          <cell r="A1408" t="str">
            <v>Обеспечение деятельности подведомственных учреждений</v>
          </cell>
          <cell r="B1408" t="str">
            <v>904</v>
          </cell>
          <cell r="C1408" t="str">
            <v>09</v>
          </cell>
          <cell r="D1408" t="str">
            <v>03</v>
          </cell>
          <cell r="E1408" t="str">
            <v>470 99 00</v>
          </cell>
          <cell r="F1408" t="str">
            <v>000</v>
          </cell>
        </row>
        <row r="1409">
          <cell r="A1409" t="str">
            <v>Выполнение функций бюджетными учреждениями</v>
          </cell>
          <cell r="B1409" t="str">
            <v>904</v>
          </cell>
          <cell r="C1409" t="str">
            <v>09</v>
          </cell>
          <cell r="D1409" t="str">
            <v>03</v>
          </cell>
          <cell r="E1409" t="str">
            <v>470 99 00</v>
          </cell>
          <cell r="F1409" t="str">
            <v>001</v>
          </cell>
        </row>
        <row r="1410">
          <cell r="A1410" t="str">
            <v>Расходы</v>
          </cell>
          <cell r="B1410" t="str">
            <v>904</v>
          </cell>
          <cell r="C1410" t="str">
            <v>09</v>
          </cell>
          <cell r="D1410" t="str">
            <v>03</v>
          </cell>
          <cell r="E1410" t="str">
            <v>470 99 00</v>
          </cell>
          <cell r="F1410" t="str">
            <v>001</v>
          </cell>
        </row>
        <row r="1411">
          <cell r="A1411" t="str">
            <v>Оплата труда и начисления на оплату труда</v>
          </cell>
          <cell r="B1411" t="str">
            <v>904</v>
          </cell>
          <cell r="C1411" t="str">
            <v>09</v>
          </cell>
          <cell r="D1411" t="str">
            <v>03</v>
          </cell>
          <cell r="E1411" t="str">
            <v>470 99 00</v>
          </cell>
          <cell r="F1411" t="str">
            <v>001</v>
          </cell>
        </row>
        <row r="1412">
          <cell r="A1412" t="str">
            <v>Заработная плата</v>
          </cell>
          <cell r="B1412" t="str">
            <v>904</v>
          </cell>
          <cell r="C1412" t="str">
            <v>09</v>
          </cell>
          <cell r="D1412" t="str">
            <v>03</v>
          </cell>
          <cell r="E1412" t="str">
            <v>470 99 00</v>
          </cell>
          <cell r="F1412" t="str">
            <v>001</v>
          </cell>
        </row>
        <row r="1413">
          <cell r="A1413" t="str">
            <v>Прочие выплаты</v>
          </cell>
          <cell r="B1413" t="str">
            <v>904</v>
          </cell>
          <cell r="C1413" t="str">
            <v>09</v>
          </cell>
          <cell r="D1413" t="str">
            <v>03</v>
          </cell>
          <cell r="E1413" t="str">
            <v>470 99 00</v>
          </cell>
          <cell r="F1413" t="str">
            <v>001</v>
          </cell>
        </row>
        <row r="1414">
          <cell r="A1414" t="str">
            <v>Начисление на оплату труда</v>
          </cell>
          <cell r="B1414" t="str">
            <v>904</v>
          </cell>
          <cell r="C1414" t="str">
            <v>09</v>
          </cell>
          <cell r="D1414" t="str">
            <v>03</v>
          </cell>
          <cell r="E1414" t="str">
            <v>470 99 00</v>
          </cell>
          <cell r="F1414" t="str">
            <v>001</v>
          </cell>
        </row>
        <row r="1415">
          <cell r="A1415" t="str">
            <v>Приобретение услуг</v>
          </cell>
          <cell r="B1415" t="str">
            <v>904</v>
          </cell>
          <cell r="C1415" t="str">
            <v>09</v>
          </cell>
          <cell r="D1415" t="str">
            <v>03</v>
          </cell>
          <cell r="E1415" t="str">
            <v>470 99 00</v>
          </cell>
          <cell r="F1415" t="str">
            <v>001</v>
          </cell>
        </row>
        <row r="1416">
          <cell r="A1416" t="str">
            <v>Услуги связи </v>
          </cell>
          <cell r="B1416" t="str">
            <v>904</v>
          </cell>
          <cell r="C1416" t="str">
            <v>09</v>
          </cell>
          <cell r="D1416" t="str">
            <v>03</v>
          </cell>
          <cell r="E1416" t="str">
            <v>470 99 00</v>
          </cell>
          <cell r="F1416" t="str">
            <v>001</v>
          </cell>
        </row>
        <row r="1417">
          <cell r="A1417" t="str">
            <v>Транспортные услуги</v>
          </cell>
          <cell r="B1417" t="str">
            <v>904</v>
          </cell>
          <cell r="C1417" t="str">
            <v>09</v>
          </cell>
          <cell r="D1417" t="str">
            <v>03</v>
          </cell>
          <cell r="E1417" t="str">
            <v>470 99 00</v>
          </cell>
          <cell r="F1417" t="str">
            <v>001</v>
          </cell>
        </row>
        <row r="1418">
          <cell r="A1418" t="str">
            <v>Коммунальные услуги</v>
          </cell>
          <cell r="B1418" t="str">
            <v>904</v>
          </cell>
          <cell r="C1418" t="str">
            <v>09</v>
          </cell>
          <cell r="D1418" t="str">
            <v>03</v>
          </cell>
          <cell r="E1418" t="str">
            <v>470 99 00</v>
          </cell>
          <cell r="F1418" t="str">
            <v>001</v>
          </cell>
        </row>
        <row r="1419">
          <cell r="A1419" t="str">
            <v>Арендная плата за пользование иммуществом </v>
          </cell>
          <cell r="B1419" t="str">
            <v>904</v>
          </cell>
          <cell r="C1419" t="str">
            <v>09</v>
          </cell>
          <cell r="D1419" t="str">
            <v>03</v>
          </cell>
          <cell r="E1419" t="str">
            <v>470 99 00</v>
          </cell>
          <cell r="F1419" t="str">
            <v>001</v>
          </cell>
        </row>
        <row r="1420">
          <cell r="A1420" t="str">
            <v>Услуги по содержанию иммущества</v>
          </cell>
          <cell r="B1420" t="str">
            <v>904</v>
          </cell>
          <cell r="C1420" t="str">
            <v>09</v>
          </cell>
          <cell r="D1420" t="str">
            <v>03</v>
          </cell>
          <cell r="E1420" t="str">
            <v>470 99 00</v>
          </cell>
          <cell r="F1420" t="str">
            <v>001</v>
          </cell>
        </row>
        <row r="1421">
          <cell r="A1421" t="str">
            <v>Прочие услуги</v>
          </cell>
          <cell r="B1421" t="str">
            <v>904</v>
          </cell>
          <cell r="C1421" t="str">
            <v>09</v>
          </cell>
          <cell r="D1421" t="str">
            <v>03</v>
          </cell>
          <cell r="E1421" t="str">
            <v>470 99 00</v>
          </cell>
          <cell r="F1421" t="str">
            <v>001</v>
          </cell>
        </row>
        <row r="1422">
          <cell r="A1422" t="str">
            <v>Прочие расходы </v>
          </cell>
          <cell r="B1422" t="str">
            <v>904</v>
          </cell>
          <cell r="C1422" t="str">
            <v>09</v>
          </cell>
          <cell r="D1422" t="str">
            <v>03</v>
          </cell>
          <cell r="E1422" t="str">
            <v>470 99 00</v>
          </cell>
          <cell r="F1422" t="str">
            <v>001</v>
          </cell>
        </row>
        <row r="1423">
          <cell r="A1423" t="str">
            <v>Поступление нефинансовых активов</v>
          </cell>
          <cell r="B1423" t="str">
            <v>904</v>
          </cell>
          <cell r="C1423" t="str">
            <v>09</v>
          </cell>
          <cell r="D1423" t="str">
            <v>03</v>
          </cell>
          <cell r="E1423" t="str">
            <v>470 99 00</v>
          </cell>
          <cell r="F1423" t="str">
            <v>001</v>
          </cell>
        </row>
        <row r="1424">
          <cell r="A1424" t="str">
            <v>Увеличение стоимости основных средств</v>
          </cell>
          <cell r="B1424" t="str">
            <v>904</v>
          </cell>
          <cell r="C1424" t="str">
            <v>09</v>
          </cell>
          <cell r="D1424" t="str">
            <v>03</v>
          </cell>
          <cell r="E1424" t="str">
            <v>470 99 00</v>
          </cell>
          <cell r="F1424" t="str">
            <v>001</v>
          </cell>
        </row>
        <row r="1425">
          <cell r="A1425" t="str">
            <v>Увеличение стоимости материальных запасов</v>
          </cell>
          <cell r="B1425" t="str">
            <v>904</v>
          </cell>
          <cell r="C1425" t="str">
            <v>09</v>
          </cell>
          <cell r="D1425" t="str">
            <v>03</v>
          </cell>
          <cell r="E1425" t="str">
            <v>470 99 00</v>
          </cell>
          <cell r="F1425" t="str">
            <v>001</v>
          </cell>
        </row>
        <row r="1426">
          <cell r="A1426" t="str">
            <v>Субсидии некоммерческим организациям</v>
          </cell>
          <cell r="B1426" t="str">
            <v>904</v>
          </cell>
          <cell r="C1426" t="str">
            <v>09</v>
          </cell>
          <cell r="D1426" t="str">
            <v>03</v>
          </cell>
          <cell r="E1426" t="str">
            <v>470 99 00</v>
          </cell>
          <cell r="F1426" t="str">
            <v>019</v>
          </cell>
        </row>
        <row r="1427">
          <cell r="A1427" t="str">
            <v>Поликлиники, амбулатории, диагностические центры</v>
          </cell>
          <cell r="B1427" t="str">
            <v>904</v>
          </cell>
          <cell r="C1427" t="str">
            <v>09</v>
          </cell>
          <cell r="D1427" t="str">
            <v>03</v>
          </cell>
          <cell r="E1427" t="str">
            <v>002 00 00</v>
          </cell>
          <cell r="F1427" t="str">
            <v>000</v>
          </cell>
        </row>
        <row r="1428">
          <cell r="A1428" t="str">
            <v>Осуществление отдельных областных государственных полномочий в области охраны здоровья граждан</v>
          </cell>
          <cell r="B1428" t="str">
            <v>904</v>
          </cell>
          <cell r="C1428" t="str">
            <v>09</v>
          </cell>
          <cell r="D1428" t="str">
            <v>03</v>
          </cell>
          <cell r="E1428" t="str">
            <v>002 52 00</v>
          </cell>
          <cell r="F1428" t="str">
            <v>000</v>
          </cell>
        </row>
        <row r="1429">
          <cell r="A1429" t="str">
            <v>Выполнение функций бюджетными учреждениями</v>
          </cell>
          <cell r="B1429" t="str">
            <v>904</v>
          </cell>
          <cell r="C1429" t="str">
            <v>09</v>
          </cell>
          <cell r="D1429" t="str">
            <v>03</v>
          </cell>
          <cell r="E1429" t="str">
            <v>002 52 00</v>
          </cell>
          <cell r="F1429" t="str">
            <v>001</v>
          </cell>
        </row>
        <row r="1430">
          <cell r="A1430" t="str">
            <v>Субсидии некоммерческим организациям</v>
          </cell>
          <cell r="B1430" t="str">
            <v>904</v>
          </cell>
          <cell r="C1430" t="str">
            <v>09</v>
          </cell>
          <cell r="D1430" t="str">
            <v>03</v>
          </cell>
          <cell r="E1430" t="str">
            <v>002 52 00</v>
          </cell>
          <cell r="F1430" t="str">
            <v>019</v>
          </cell>
        </row>
        <row r="1431">
          <cell r="A1431" t="str">
            <v>Поликлиники, амбулатории, диагностические центры</v>
          </cell>
          <cell r="B1431" t="str">
            <v>904</v>
          </cell>
          <cell r="C1431" t="str">
            <v>09</v>
          </cell>
          <cell r="D1431" t="str">
            <v>03</v>
          </cell>
          <cell r="E1431" t="str">
            <v>471 00 00</v>
          </cell>
          <cell r="F1431" t="str">
            <v>000</v>
          </cell>
        </row>
        <row r="1432">
          <cell r="A1432" t="str">
            <v>Обеспечение деятельности подведомственных учреждений</v>
          </cell>
          <cell r="B1432" t="str">
            <v>904</v>
          </cell>
          <cell r="C1432" t="str">
            <v>09</v>
          </cell>
          <cell r="D1432" t="str">
            <v>03</v>
          </cell>
          <cell r="E1432" t="str">
            <v>471 99 00</v>
          </cell>
          <cell r="F1432" t="str">
            <v>000</v>
          </cell>
        </row>
        <row r="1433">
          <cell r="A1433" t="str">
            <v>Субсидии некоммерческим организациям</v>
          </cell>
          <cell r="B1433" t="str">
            <v>904</v>
          </cell>
          <cell r="C1433" t="str">
            <v>09</v>
          </cell>
          <cell r="D1433" t="str">
            <v>03</v>
          </cell>
          <cell r="E1433" t="str">
            <v>471 99 00</v>
          </cell>
          <cell r="F1433" t="str">
            <v>019</v>
          </cell>
        </row>
        <row r="1434">
          <cell r="A1434" t="str">
            <v>Расходы</v>
          </cell>
          <cell r="B1434" t="str">
            <v>904</v>
          </cell>
          <cell r="C1434" t="str">
            <v>09</v>
          </cell>
          <cell r="D1434" t="str">
            <v>03</v>
          </cell>
          <cell r="E1434" t="str">
            <v>471 99 00</v>
          </cell>
          <cell r="F1434" t="str">
            <v>001</v>
          </cell>
        </row>
        <row r="1435">
          <cell r="A1435" t="str">
            <v>Оплата труда и начисления на оплату труда</v>
          </cell>
          <cell r="B1435" t="str">
            <v>904</v>
          </cell>
          <cell r="C1435" t="str">
            <v>09</v>
          </cell>
          <cell r="D1435" t="str">
            <v>03</v>
          </cell>
          <cell r="E1435" t="str">
            <v>471 99 00</v>
          </cell>
          <cell r="F1435" t="str">
            <v>001</v>
          </cell>
        </row>
        <row r="1436">
          <cell r="A1436" t="str">
            <v>Заработная плата</v>
          </cell>
          <cell r="B1436" t="str">
            <v>904</v>
          </cell>
          <cell r="C1436" t="str">
            <v>09</v>
          </cell>
          <cell r="D1436" t="str">
            <v>03</v>
          </cell>
          <cell r="E1436" t="str">
            <v>471 99 00</v>
          </cell>
          <cell r="F1436" t="str">
            <v>001</v>
          </cell>
        </row>
        <row r="1437">
          <cell r="A1437" t="str">
            <v>Прочие выплаты</v>
          </cell>
          <cell r="B1437" t="str">
            <v>904</v>
          </cell>
          <cell r="C1437" t="str">
            <v>09</v>
          </cell>
          <cell r="D1437" t="str">
            <v>03</v>
          </cell>
          <cell r="E1437" t="str">
            <v>471 99 00</v>
          </cell>
          <cell r="F1437" t="str">
            <v>001</v>
          </cell>
        </row>
        <row r="1438">
          <cell r="A1438" t="str">
            <v>Начисление на оплату труда</v>
          </cell>
          <cell r="B1438" t="str">
            <v>904</v>
          </cell>
          <cell r="C1438" t="str">
            <v>09</v>
          </cell>
          <cell r="D1438" t="str">
            <v>03</v>
          </cell>
          <cell r="E1438" t="str">
            <v>471 99 00</v>
          </cell>
          <cell r="F1438" t="str">
            <v>001</v>
          </cell>
        </row>
        <row r="1439">
          <cell r="A1439" t="str">
            <v>Приобретение услуг</v>
          </cell>
          <cell r="B1439" t="str">
            <v>904</v>
          </cell>
          <cell r="C1439" t="str">
            <v>09</v>
          </cell>
          <cell r="D1439" t="str">
            <v>03</v>
          </cell>
          <cell r="E1439" t="str">
            <v>471 99 00</v>
          </cell>
          <cell r="F1439" t="str">
            <v>001</v>
          </cell>
        </row>
        <row r="1440">
          <cell r="A1440" t="str">
            <v>Услуги связи </v>
          </cell>
          <cell r="B1440" t="str">
            <v>904</v>
          </cell>
          <cell r="C1440" t="str">
            <v>09</v>
          </cell>
          <cell r="D1440" t="str">
            <v>03</v>
          </cell>
          <cell r="E1440" t="str">
            <v>471 99 00</v>
          </cell>
          <cell r="F1440" t="str">
            <v>001</v>
          </cell>
        </row>
        <row r="1441">
          <cell r="A1441" t="str">
            <v>Транспортные услуги</v>
          </cell>
          <cell r="B1441" t="str">
            <v>904</v>
          </cell>
          <cell r="C1441" t="str">
            <v>09</v>
          </cell>
          <cell r="D1441" t="str">
            <v>03</v>
          </cell>
          <cell r="E1441" t="str">
            <v>471 99 00</v>
          </cell>
          <cell r="F1441" t="str">
            <v>001</v>
          </cell>
        </row>
        <row r="1442">
          <cell r="A1442" t="str">
            <v>Коммунальные услуги</v>
          </cell>
          <cell r="B1442" t="str">
            <v>904</v>
          </cell>
          <cell r="C1442" t="str">
            <v>09</v>
          </cell>
          <cell r="D1442" t="str">
            <v>03</v>
          </cell>
          <cell r="E1442" t="str">
            <v>471 99 00</v>
          </cell>
          <cell r="F1442" t="str">
            <v>001</v>
          </cell>
        </row>
        <row r="1443">
          <cell r="A1443" t="str">
            <v>Арендная плата за пользование иммуществом </v>
          </cell>
          <cell r="B1443" t="str">
            <v>904</v>
          </cell>
          <cell r="C1443" t="str">
            <v>09</v>
          </cell>
          <cell r="D1443" t="str">
            <v>03</v>
          </cell>
          <cell r="E1443" t="str">
            <v>471 99 00</v>
          </cell>
          <cell r="F1443" t="str">
            <v>001</v>
          </cell>
        </row>
        <row r="1444">
          <cell r="A1444" t="str">
            <v>Услуги по содержанию иммущества</v>
          </cell>
          <cell r="B1444" t="str">
            <v>904</v>
          </cell>
          <cell r="C1444" t="str">
            <v>09</v>
          </cell>
          <cell r="D1444" t="str">
            <v>03</v>
          </cell>
          <cell r="E1444" t="str">
            <v>471 99 00</v>
          </cell>
          <cell r="F1444" t="str">
            <v>001</v>
          </cell>
        </row>
        <row r="1445">
          <cell r="A1445" t="str">
            <v>Прочие услуги</v>
          </cell>
          <cell r="B1445" t="str">
            <v>904</v>
          </cell>
          <cell r="C1445" t="str">
            <v>09</v>
          </cell>
          <cell r="D1445" t="str">
            <v>03</v>
          </cell>
          <cell r="E1445" t="str">
            <v>471 99 00</v>
          </cell>
          <cell r="F1445" t="str">
            <v>001</v>
          </cell>
        </row>
        <row r="1446">
          <cell r="A1446" t="str">
            <v>Прочие расходы </v>
          </cell>
          <cell r="B1446" t="str">
            <v>904</v>
          </cell>
          <cell r="C1446" t="str">
            <v>09</v>
          </cell>
          <cell r="D1446" t="str">
            <v>03</v>
          </cell>
          <cell r="E1446" t="str">
            <v>471 99 00</v>
          </cell>
          <cell r="F1446" t="str">
            <v>001</v>
          </cell>
        </row>
        <row r="1447">
          <cell r="A1447" t="str">
            <v>Поступление нефинансовых активов</v>
          </cell>
          <cell r="B1447" t="str">
            <v>904</v>
          </cell>
          <cell r="C1447" t="str">
            <v>09</v>
          </cell>
          <cell r="D1447" t="str">
            <v>03</v>
          </cell>
          <cell r="E1447" t="str">
            <v>471 99 00</v>
          </cell>
          <cell r="F1447" t="str">
            <v>001</v>
          </cell>
        </row>
        <row r="1448">
          <cell r="A1448" t="str">
            <v>Увеличение стоимости основных средств</v>
          </cell>
          <cell r="B1448" t="str">
            <v>904</v>
          </cell>
          <cell r="C1448" t="str">
            <v>09</v>
          </cell>
          <cell r="D1448" t="str">
            <v>03</v>
          </cell>
          <cell r="E1448" t="str">
            <v>471 99 00</v>
          </cell>
          <cell r="F1448" t="str">
            <v>001</v>
          </cell>
        </row>
        <row r="1449">
          <cell r="A1449" t="str">
            <v>Увеличение стоимости материальных запасов</v>
          </cell>
          <cell r="B1449" t="str">
            <v>904</v>
          </cell>
          <cell r="C1449" t="str">
            <v>09</v>
          </cell>
          <cell r="D1449" t="str">
            <v>03</v>
          </cell>
          <cell r="E1449" t="str">
            <v>471 99 00</v>
          </cell>
          <cell r="F1449" t="str">
            <v>001</v>
          </cell>
        </row>
        <row r="1450">
          <cell r="A1450" t="str">
            <v>Скорая медицинская помощь</v>
          </cell>
          <cell r="B1450" t="str">
            <v>904</v>
          </cell>
          <cell r="C1450" t="str">
            <v>09</v>
          </cell>
          <cell r="D1450" t="str">
            <v>04</v>
          </cell>
          <cell r="E1450" t="str">
            <v>000 00 00</v>
          </cell>
          <cell r="F1450" t="str">
            <v>000</v>
          </cell>
        </row>
        <row r="1451">
          <cell r="A1451" t="str">
            <v>Больницы, клиники, госпитали, медико- санитарные части </v>
          </cell>
          <cell r="B1451" t="str">
            <v>904</v>
          </cell>
          <cell r="C1451" t="str">
            <v>09</v>
          </cell>
          <cell r="D1451" t="str">
            <v>04</v>
          </cell>
          <cell r="E1451" t="str">
            <v>002 00 00</v>
          </cell>
          <cell r="F1451" t="str">
            <v>000</v>
          </cell>
        </row>
        <row r="1452">
          <cell r="A1452" t="str">
            <v>Осуществление отдельных областных государственных полномочий в области охраны здоровья граждан</v>
          </cell>
          <cell r="B1452" t="str">
            <v>904</v>
          </cell>
          <cell r="C1452" t="str">
            <v>09</v>
          </cell>
          <cell r="D1452" t="str">
            <v>04</v>
          </cell>
          <cell r="E1452" t="str">
            <v>002 52 00</v>
          </cell>
          <cell r="F1452" t="str">
            <v>000</v>
          </cell>
        </row>
        <row r="1453">
          <cell r="A1453" t="str">
            <v>Выполнение функций бюджетными учреждениями</v>
          </cell>
          <cell r="B1453" t="str">
            <v>904</v>
          </cell>
          <cell r="C1453" t="str">
            <v>09</v>
          </cell>
          <cell r="D1453" t="str">
            <v>04</v>
          </cell>
          <cell r="E1453" t="str">
            <v>002 52 00</v>
          </cell>
          <cell r="F1453" t="str">
            <v>001</v>
          </cell>
        </row>
        <row r="1454">
          <cell r="A1454" t="str">
            <v>Субсидии некоммерческим организациям</v>
          </cell>
          <cell r="B1454" t="str">
            <v>904</v>
          </cell>
          <cell r="C1454" t="str">
            <v>09</v>
          </cell>
          <cell r="D1454" t="str">
            <v>04</v>
          </cell>
          <cell r="E1454" t="str">
            <v>002 52 00</v>
          </cell>
          <cell r="F1454" t="str">
            <v>019</v>
          </cell>
        </row>
        <row r="1455">
          <cell r="A1455" t="str">
            <v>Больницы, клиники, госпитали, медико- санитарные части </v>
          </cell>
          <cell r="B1455" t="str">
            <v>904</v>
          </cell>
          <cell r="C1455" t="str">
            <v>09</v>
          </cell>
          <cell r="D1455" t="str">
            <v>04</v>
          </cell>
          <cell r="E1455" t="str">
            <v>470 00 00</v>
          </cell>
          <cell r="F1455" t="str">
            <v>000</v>
          </cell>
        </row>
        <row r="1456">
          <cell r="A1456" t="str">
            <v>Обеспечение деятельности подведомственных учреждений</v>
          </cell>
          <cell r="B1456" t="str">
            <v>904</v>
          </cell>
          <cell r="C1456" t="str">
            <v>09</v>
          </cell>
          <cell r="D1456" t="str">
            <v>04</v>
          </cell>
          <cell r="E1456" t="str">
            <v>470 99 00</v>
          </cell>
          <cell r="F1456" t="str">
            <v>000</v>
          </cell>
        </row>
        <row r="1457">
          <cell r="A1457" t="str">
            <v>Выполнение функций бюджетными учреждениями</v>
          </cell>
          <cell r="B1457" t="str">
            <v>904</v>
          </cell>
          <cell r="C1457" t="str">
            <v>09</v>
          </cell>
          <cell r="D1457" t="str">
            <v>04</v>
          </cell>
          <cell r="E1457" t="str">
            <v>470 99 00</v>
          </cell>
          <cell r="F1457" t="str">
            <v>001</v>
          </cell>
        </row>
        <row r="1458">
          <cell r="A1458" t="str">
            <v>Расходы</v>
          </cell>
          <cell r="B1458" t="str">
            <v>904</v>
          </cell>
          <cell r="C1458" t="str">
            <v>09</v>
          </cell>
          <cell r="D1458" t="str">
            <v>04</v>
          </cell>
          <cell r="E1458" t="str">
            <v>470 99 00</v>
          </cell>
          <cell r="F1458" t="str">
            <v>001</v>
          </cell>
        </row>
        <row r="1459">
          <cell r="A1459" t="str">
            <v>Оплата труда и начисления на оплату труда</v>
          </cell>
          <cell r="B1459" t="str">
            <v>904</v>
          </cell>
          <cell r="C1459" t="str">
            <v>09</v>
          </cell>
          <cell r="D1459" t="str">
            <v>04</v>
          </cell>
          <cell r="E1459" t="str">
            <v>470 99 00</v>
          </cell>
          <cell r="F1459" t="str">
            <v>001</v>
          </cell>
        </row>
        <row r="1460">
          <cell r="A1460" t="str">
            <v>Заработная плата</v>
          </cell>
          <cell r="B1460" t="str">
            <v>904</v>
          </cell>
          <cell r="C1460" t="str">
            <v>09</v>
          </cell>
          <cell r="D1460" t="str">
            <v>04</v>
          </cell>
          <cell r="E1460" t="str">
            <v>470 99 00</v>
          </cell>
          <cell r="F1460" t="str">
            <v>001</v>
          </cell>
        </row>
        <row r="1461">
          <cell r="A1461" t="str">
            <v>Прочие выплаты</v>
          </cell>
          <cell r="B1461" t="str">
            <v>904</v>
          </cell>
          <cell r="C1461" t="str">
            <v>09</v>
          </cell>
          <cell r="D1461" t="str">
            <v>04</v>
          </cell>
          <cell r="E1461" t="str">
            <v>470 99 00</v>
          </cell>
          <cell r="F1461" t="str">
            <v>001</v>
          </cell>
        </row>
        <row r="1462">
          <cell r="A1462" t="str">
            <v>Начисление на оплату труда</v>
          </cell>
          <cell r="B1462" t="str">
            <v>904</v>
          </cell>
          <cell r="C1462" t="str">
            <v>09</v>
          </cell>
          <cell r="D1462" t="str">
            <v>04</v>
          </cell>
          <cell r="E1462" t="str">
            <v>470 99 00</v>
          </cell>
          <cell r="F1462" t="str">
            <v>001</v>
          </cell>
        </row>
        <row r="1463">
          <cell r="A1463" t="str">
            <v>Приобретение услуг</v>
          </cell>
          <cell r="B1463" t="str">
            <v>904</v>
          </cell>
          <cell r="C1463" t="str">
            <v>09</v>
          </cell>
          <cell r="D1463" t="str">
            <v>04</v>
          </cell>
          <cell r="E1463" t="str">
            <v>470 99 00</v>
          </cell>
          <cell r="F1463" t="str">
            <v>001</v>
          </cell>
        </row>
        <row r="1464">
          <cell r="A1464" t="str">
            <v>Услуги связи </v>
          </cell>
          <cell r="B1464" t="str">
            <v>904</v>
          </cell>
          <cell r="C1464" t="str">
            <v>09</v>
          </cell>
          <cell r="D1464" t="str">
            <v>04</v>
          </cell>
          <cell r="E1464" t="str">
            <v>470 99 00</v>
          </cell>
          <cell r="F1464" t="str">
            <v>001</v>
          </cell>
        </row>
        <row r="1465">
          <cell r="A1465" t="str">
            <v>Транспортные услуги</v>
          </cell>
          <cell r="B1465" t="str">
            <v>904</v>
          </cell>
          <cell r="C1465" t="str">
            <v>09</v>
          </cell>
          <cell r="D1465" t="str">
            <v>04</v>
          </cell>
          <cell r="E1465" t="str">
            <v>470 99 00</v>
          </cell>
          <cell r="F1465" t="str">
            <v>001</v>
          </cell>
        </row>
        <row r="1466">
          <cell r="A1466" t="str">
            <v>Коммунальные услуги</v>
          </cell>
          <cell r="B1466" t="str">
            <v>904</v>
          </cell>
          <cell r="C1466" t="str">
            <v>09</v>
          </cell>
          <cell r="D1466" t="str">
            <v>04</v>
          </cell>
          <cell r="E1466" t="str">
            <v>470 99 00</v>
          </cell>
          <cell r="F1466" t="str">
            <v>001</v>
          </cell>
        </row>
        <row r="1467">
          <cell r="A1467" t="str">
            <v>Арендная плата за пользование иммуществом </v>
          </cell>
          <cell r="B1467" t="str">
            <v>904</v>
          </cell>
          <cell r="C1467" t="str">
            <v>09</v>
          </cell>
          <cell r="D1467" t="str">
            <v>04</v>
          </cell>
          <cell r="E1467" t="str">
            <v>470 99 00</v>
          </cell>
          <cell r="F1467" t="str">
            <v>001</v>
          </cell>
        </row>
        <row r="1468">
          <cell r="A1468" t="str">
            <v>Услуги по содержанию иммущества</v>
          </cell>
          <cell r="B1468" t="str">
            <v>904</v>
          </cell>
          <cell r="C1468" t="str">
            <v>09</v>
          </cell>
          <cell r="D1468" t="str">
            <v>04</v>
          </cell>
          <cell r="E1468" t="str">
            <v>470 99 00</v>
          </cell>
          <cell r="F1468" t="str">
            <v>001</v>
          </cell>
        </row>
        <row r="1469">
          <cell r="A1469" t="str">
            <v>Прочие услуги</v>
          </cell>
          <cell r="B1469" t="str">
            <v>904</v>
          </cell>
          <cell r="C1469" t="str">
            <v>09</v>
          </cell>
          <cell r="D1469" t="str">
            <v>04</v>
          </cell>
          <cell r="E1469" t="str">
            <v>470 99 00</v>
          </cell>
          <cell r="F1469" t="str">
            <v>001</v>
          </cell>
        </row>
        <row r="1470">
          <cell r="A1470" t="str">
            <v>Прочие расходы </v>
          </cell>
          <cell r="B1470" t="str">
            <v>904</v>
          </cell>
          <cell r="C1470" t="str">
            <v>09</v>
          </cell>
          <cell r="D1470" t="str">
            <v>04</v>
          </cell>
          <cell r="E1470" t="str">
            <v>470 99 00</v>
          </cell>
          <cell r="F1470" t="str">
            <v>001</v>
          </cell>
        </row>
        <row r="1471">
          <cell r="A1471" t="str">
            <v>Поступление нефинансовых активов</v>
          </cell>
          <cell r="B1471" t="str">
            <v>904</v>
          </cell>
          <cell r="C1471" t="str">
            <v>09</v>
          </cell>
          <cell r="D1471" t="str">
            <v>04</v>
          </cell>
          <cell r="E1471" t="str">
            <v>470 99 00</v>
          </cell>
          <cell r="F1471" t="str">
            <v>001</v>
          </cell>
        </row>
        <row r="1472">
          <cell r="A1472" t="str">
            <v>Увеличение стоимости основных средств</v>
          </cell>
          <cell r="B1472" t="str">
            <v>904</v>
          </cell>
          <cell r="C1472" t="str">
            <v>09</v>
          </cell>
          <cell r="D1472" t="str">
            <v>04</v>
          </cell>
          <cell r="E1472" t="str">
            <v>470 99 00</v>
          </cell>
          <cell r="F1472" t="str">
            <v>001</v>
          </cell>
        </row>
        <row r="1473">
          <cell r="A1473" t="str">
            <v>Увеличение стоимости материальных запасов</v>
          </cell>
          <cell r="B1473" t="str">
            <v>904</v>
          </cell>
          <cell r="C1473" t="str">
            <v>09</v>
          </cell>
          <cell r="D1473" t="str">
            <v>04</v>
          </cell>
          <cell r="E1473" t="str">
            <v>470 99 00</v>
          </cell>
          <cell r="F1473" t="str">
            <v>001</v>
          </cell>
        </row>
        <row r="1474">
          <cell r="A1474" t="str">
            <v>Субсидии некоммерческим организациям</v>
          </cell>
          <cell r="B1474" t="str">
            <v>904</v>
          </cell>
          <cell r="C1474" t="str">
            <v>09</v>
          </cell>
          <cell r="D1474" t="str">
            <v>04</v>
          </cell>
          <cell r="E1474" t="str">
            <v>470 99 00</v>
          </cell>
          <cell r="F1474" t="str">
            <v>019</v>
          </cell>
        </row>
        <row r="1475">
          <cell r="A1475" t="str">
            <v>Иные безвозмездные и безвозвратные перечисления </v>
          </cell>
          <cell r="B1475" t="str">
            <v>904</v>
          </cell>
          <cell r="C1475" t="str">
            <v>09</v>
          </cell>
          <cell r="D1475" t="str">
            <v>04</v>
          </cell>
          <cell r="E1475" t="str">
            <v>520 00 00</v>
          </cell>
          <cell r="F1475" t="str">
            <v>000 </v>
          </cell>
        </row>
        <row r="1476">
          <cell r="A1476" t="str">
            <v>Денежные выплаты медицинскому персоналу фельдшерско-акушерских пунктов, врачам, фельдшерам и медицинским сестрам скорой медицинской помощи</v>
          </cell>
          <cell r="B1476" t="str">
            <v>904</v>
          </cell>
          <cell r="C1476" t="str">
            <v>09</v>
          </cell>
          <cell r="D1476" t="str">
            <v>04</v>
          </cell>
          <cell r="E1476" t="str">
            <v>520 18 00</v>
          </cell>
          <cell r="F1476" t="str">
            <v>000</v>
          </cell>
        </row>
        <row r="1477">
          <cell r="A1477" t="str">
            <v>Выполнение функций бюджетными учреждениями</v>
          </cell>
          <cell r="B1477" t="str">
            <v>904</v>
          </cell>
          <cell r="C1477" t="str">
            <v>09</v>
          </cell>
          <cell r="D1477" t="str">
            <v>04</v>
          </cell>
          <cell r="E1477" t="str">
            <v>520 18 00</v>
          </cell>
          <cell r="F1477" t="str">
            <v>001</v>
          </cell>
        </row>
        <row r="1478">
          <cell r="A1478" t="str">
            <v>Расходы</v>
          </cell>
          <cell r="B1478" t="str">
            <v>904</v>
          </cell>
          <cell r="C1478" t="str">
            <v>09</v>
          </cell>
          <cell r="D1478" t="str">
            <v>04</v>
          </cell>
          <cell r="E1478" t="str">
            <v>520 18 00</v>
          </cell>
          <cell r="F1478" t="str">
            <v>001</v>
          </cell>
        </row>
        <row r="1479">
          <cell r="A1479" t="str">
            <v>Оплата труда и начисления на оплату труда</v>
          </cell>
          <cell r="B1479" t="str">
            <v>904</v>
          </cell>
          <cell r="C1479" t="str">
            <v>09</v>
          </cell>
          <cell r="D1479" t="str">
            <v>04</v>
          </cell>
          <cell r="E1479" t="str">
            <v>520 18 00</v>
          </cell>
          <cell r="F1479" t="str">
            <v>001</v>
          </cell>
        </row>
        <row r="1480">
          <cell r="A1480" t="str">
            <v>Заработная плата</v>
          </cell>
          <cell r="B1480" t="str">
            <v>904</v>
          </cell>
          <cell r="C1480" t="str">
            <v>09</v>
          </cell>
          <cell r="D1480" t="str">
            <v>04</v>
          </cell>
          <cell r="E1480" t="str">
            <v>520 18 00</v>
          </cell>
          <cell r="F1480" t="str">
            <v>001</v>
          </cell>
        </row>
        <row r="1481">
          <cell r="A1481" t="str">
            <v>Начисление на оплату труда</v>
          </cell>
          <cell r="B1481" t="str">
            <v>904</v>
          </cell>
          <cell r="C1481" t="str">
            <v>09</v>
          </cell>
          <cell r="D1481" t="str">
            <v>04</v>
          </cell>
          <cell r="E1481" t="str">
            <v>520 18 00</v>
          </cell>
          <cell r="F1481" t="str">
            <v>001</v>
          </cell>
        </row>
        <row r="1482">
          <cell r="A1482" t="str">
            <v>Обеспечение оказания дополнительной медицинской помощи, оказываемой врачами- терапевтами участковыми, врачами-педиаторами участковыми,и т.п.</v>
          </cell>
          <cell r="B1482" t="str">
            <v>904</v>
          </cell>
          <cell r="C1482" t="str">
            <v>09</v>
          </cell>
          <cell r="D1482" t="str">
            <v>02</v>
          </cell>
          <cell r="E1482" t="str">
            <v>520 21 00</v>
          </cell>
          <cell r="F1482" t="str">
            <v>001</v>
          </cell>
        </row>
        <row r="1483">
          <cell r="A1483" t="str">
            <v>Оплата труда и начисления на оплату труда</v>
          </cell>
          <cell r="B1483" t="str">
            <v>904</v>
          </cell>
          <cell r="C1483" t="str">
            <v>09</v>
          </cell>
          <cell r="D1483" t="str">
            <v>02</v>
          </cell>
          <cell r="E1483" t="str">
            <v>520 21 00</v>
          </cell>
          <cell r="F1483" t="str">
            <v>001</v>
          </cell>
        </row>
        <row r="1484">
          <cell r="A1484" t="str">
            <v>Заработная плата</v>
          </cell>
          <cell r="B1484" t="str">
            <v>904</v>
          </cell>
          <cell r="C1484" t="str">
            <v>09</v>
          </cell>
          <cell r="D1484" t="str">
            <v>02</v>
          </cell>
          <cell r="E1484" t="str">
            <v>520 21 00</v>
          </cell>
          <cell r="F1484" t="str">
            <v>001</v>
          </cell>
        </row>
        <row r="1485">
          <cell r="A1485" t="str">
            <v>Начисление на оплату труда</v>
          </cell>
          <cell r="B1485" t="str">
            <v>904</v>
          </cell>
          <cell r="C1485" t="str">
            <v>09</v>
          </cell>
          <cell r="D1485" t="str">
            <v>02</v>
          </cell>
          <cell r="E1485" t="str">
            <v>520 21 00</v>
          </cell>
          <cell r="F1485" t="str">
            <v>001</v>
          </cell>
        </row>
        <row r="1486">
          <cell r="A1486" t="str">
            <v>Спорт и физическая культура</v>
          </cell>
          <cell r="B1486" t="str">
            <v>904</v>
          </cell>
          <cell r="C1486" t="str">
            <v>09</v>
          </cell>
          <cell r="D1486" t="str">
            <v>08</v>
          </cell>
          <cell r="E1486" t="str">
            <v>000 00 00</v>
          </cell>
          <cell r="F1486" t="str">
            <v>000</v>
          </cell>
        </row>
        <row r="1487">
          <cell r="A1487" t="str">
            <v>Центры спортивной подготовки (сборные команды) </v>
          </cell>
          <cell r="B1487" t="str">
            <v>904</v>
          </cell>
          <cell r="C1487" t="str">
            <v>09</v>
          </cell>
          <cell r="D1487" t="str">
            <v>08</v>
          </cell>
          <cell r="E1487" t="str">
            <v>482 00 00</v>
          </cell>
          <cell r="F1487" t="str">
            <v>000</v>
          </cell>
        </row>
        <row r="1488">
          <cell r="A1488" t="str">
            <v>Обеспечение детельности  подведомственных учреждений </v>
          </cell>
          <cell r="B1488" t="str">
            <v>904</v>
          </cell>
          <cell r="C1488" t="str">
            <v>09</v>
          </cell>
          <cell r="D1488" t="str">
            <v>08</v>
          </cell>
          <cell r="E1488" t="str">
            <v>482 99 00</v>
          </cell>
          <cell r="F1488" t="str">
            <v>000</v>
          </cell>
        </row>
        <row r="1489">
          <cell r="A1489" t="str">
            <v>Выполнение функций бюджетными учреждениями</v>
          </cell>
          <cell r="B1489" t="str">
            <v>904</v>
          </cell>
          <cell r="C1489" t="str">
            <v>09</v>
          </cell>
          <cell r="D1489" t="str">
            <v>08</v>
          </cell>
          <cell r="E1489" t="str">
            <v>482 99 00</v>
          </cell>
          <cell r="F1489" t="str">
            <v>001</v>
          </cell>
        </row>
        <row r="1490">
          <cell r="A1490" t="str">
            <v>Расходы</v>
          </cell>
          <cell r="B1490" t="str">
            <v>904</v>
          </cell>
          <cell r="C1490" t="str">
            <v>09</v>
          </cell>
          <cell r="D1490" t="str">
            <v>08</v>
          </cell>
          <cell r="E1490" t="str">
            <v>482 99 00</v>
          </cell>
          <cell r="F1490" t="str">
            <v>001</v>
          </cell>
        </row>
        <row r="1491">
          <cell r="A1491" t="str">
            <v>Оплата труда и начисления на оплату труда</v>
          </cell>
          <cell r="B1491" t="str">
            <v>904</v>
          </cell>
          <cell r="C1491" t="str">
            <v>09</v>
          </cell>
          <cell r="D1491" t="str">
            <v>08</v>
          </cell>
          <cell r="E1491" t="str">
            <v>482 99 00</v>
          </cell>
          <cell r="F1491" t="str">
            <v>001</v>
          </cell>
        </row>
        <row r="1492">
          <cell r="A1492" t="str">
            <v>Заработная плата</v>
          </cell>
          <cell r="B1492" t="str">
            <v>904</v>
          </cell>
          <cell r="C1492" t="str">
            <v>09</v>
          </cell>
          <cell r="D1492" t="str">
            <v>08</v>
          </cell>
          <cell r="E1492" t="str">
            <v>482 99 00</v>
          </cell>
          <cell r="F1492" t="str">
            <v>001</v>
          </cell>
        </row>
        <row r="1493">
          <cell r="A1493" t="str">
            <v>Прочие выплаты</v>
          </cell>
          <cell r="B1493" t="str">
            <v>904</v>
          </cell>
          <cell r="C1493" t="str">
            <v>09</v>
          </cell>
          <cell r="D1493" t="str">
            <v>08</v>
          </cell>
          <cell r="E1493" t="str">
            <v>482 99 00</v>
          </cell>
          <cell r="F1493" t="str">
            <v>001</v>
          </cell>
        </row>
        <row r="1494">
          <cell r="A1494" t="str">
            <v>Начисление на оплату труда</v>
          </cell>
          <cell r="B1494" t="str">
            <v>904</v>
          </cell>
          <cell r="C1494" t="str">
            <v>09</v>
          </cell>
          <cell r="D1494" t="str">
            <v>08</v>
          </cell>
          <cell r="E1494" t="str">
            <v>482 99 00</v>
          </cell>
          <cell r="F1494" t="str">
            <v>001</v>
          </cell>
        </row>
        <row r="1495">
          <cell r="A1495" t="str">
            <v>Приобретение услуг</v>
          </cell>
          <cell r="B1495" t="str">
            <v>904</v>
          </cell>
          <cell r="C1495" t="str">
            <v>09</v>
          </cell>
          <cell r="D1495" t="str">
            <v>08</v>
          </cell>
          <cell r="E1495" t="str">
            <v>482 99 00</v>
          </cell>
          <cell r="F1495" t="str">
            <v>001</v>
          </cell>
        </row>
        <row r="1496">
          <cell r="A1496" t="str">
            <v>Услуги связи </v>
          </cell>
          <cell r="B1496" t="str">
            <v>904</v>
          </cell>
          <cell r="C1496" t="str">
            <v>09</v>
          </cell>
          <cell r="D1496" t="str">
            <v>08</v>
          </cell>
          <cell r="E1496" t="str">
            <v>482 99 00</v>
          </cell>
          <cell r="F1496" t="str">
            <v>001</v>
          </cell>
        </row>
        <row r="1497">
          <cell r="A1497" t="str">
            <v>Транспортные услуги</v>
          </cell>
          <cell r="B1497" t="str">
            <v>904</v>
          </cell>
          <cell r="C1497" t="str">
            <v>09</v>
          </cell>
          <cell r="D1497" t="str">
            <v>08</v>
          </cell>
          <cell r="E1497" t="str">
            <v>482 99 00</v>
          </cell>
          <cell r="F1497" t="str">
            <v>001</v>
          </cell>
        </row>
        <row r="1498">
          <cell r="A1498" t="str">
            <v>Коммунальные услуги</v>
          </cell>
          <cell r="B1498" t="str">
            <v>904</v>
          </cell>
          <cell r="C1498" t="str">
            <v>09</v>
          </cell>
          <cell r="D1498" t="str">
            <v>08</v>
          </cell>
          <cell r="E1498" t="str">
            <v>482 99 00</v>
          </cell>
          <cell r="F1498" t="str">
            <v>001</v>
          </cell>
        </row>
        <row r="1499">
          <cell r="A1499" t="str">
            <v>Арендная плата за пользование иммуществом </v>
          </cell>
          <cell r="B1499" t="str">
            <v>904</v>
          </cell>
          <cell r="C1499" t="str">
            <v>09</v>
          </cell>
          <cell r="D1499" t="str">
            <v>08</v>
          </cell>
          <cell r="E1499" t="str">
            <v>482 99 00</v>
          </cell>
          <cell r="F1499" t="str">
            <v>001</v>
          </cell>
        </row>
        <row r="1500">
          <cell r="A1500" t="str">
            <v>Услуги по содержанию иммущества</v>
          </cell>
          <cell r="B1500" t="str">
            <v>904</v>
          </cell>
          <cell r="C1500" t="str">
            <v>09</v>
          </cell>
          <cell r="D1500" t="str">
            <v>08</v>
          </cell>
          <cell r="E1500" t="str">
            <v>482 99 00</v>
          </cell>
          <cell r="F1500" t="str">
            <v>001</v>
          </cell>
        </row>
        <row r="1501">
          <cell r="A1501" t="str">
            <v>Прочие услуги</v>
          </cell>
          <cell r="B1501" t="str">
            <v>904</v>
          </cell>
          <cell r="C1501" t="str">
            <v>09</v>
          </cell>
          <cell r="D1501" t="str">
            <v>08</v>
          </cell>
          <cell r="E1501" t="str">
            <v>482 99 00</v>
          </cell>
          <cell r="F1501" t="str">
            <v>001</v>
          </cell>
        </row>
        <row r="1502">
          <cell r="A1502" t="str">
            <v>Прочие расходы </v>
          </cell>
          <cell r="B1502" t="str">
            <v>904</v>
          </cell>
          <cell r="C1502" t="str">
            <v>09</v>
          </cell>
          <cell r="D1502" t="str">
            <v>08</v>
          </cell>
          <cell r="E1502" t="str">
            <v>482 99 00</v>
          </cell>
          <cell r="F1502" t="str">
            <v>001</v>
          </cell>
        </row>
        <row r="1503">
          <cell r="A1503" t="str">
            <v>Поступление нефинансовых активов</v>
          </cell>
          <cell r="B1503" t="str">
            <v>904</v>
          </cell>
          <cell r="C1503" t="str">
            <v>09</v>
          </cell>
          <cell r="D1503" t="str">
            <v>08</v>
          </cell>
          <cell r="E1503" t="str">
            <v>482 99 00</v>
          </cell>
          <cell r="F1503" t="str">
            <v>001</v>
          </cell>
        </row>
        <row r="1504">
          <cell r="A1504" t="str">
            <v>Увеличение стоимости основных средств</v>
          </cell>
          <cell r="B1504" t="str">
            <v>904</v>
          </cell>
          <cell r="C1504" t="str">
            <v>09</v>
          </cell>
          <cell r="D1504" t="str">
            <v>08</v>
          </cell>
          <cell r="E1504" t="str">
            <v>482 99 00</v>
          </cell>
          <cell r="F1504" t="str">
            <v>001</v>
          </cell>
        </row>
        <row r="1505">
          <cell r="A1505" t="str">
            <v>Увеличение стоимости материальных запасов</v>
          </cell>
          <cell r="B1505" t="str">
            <v>904</v>
          </cell>
          <cell r="C1505" t="str">
            <v>09</v>
          </cell>
          <cell r="D1505" t="str">
            <v>08</v>
          </cell>
          <cell r="E1505" t="str">
            <v>482 99 00</v>
          </cell>
          <cell r="F1505" t="str">
            <v>001</v>
          </cell>
        </row>
        <row r="1506">
          <cell r="A1506" t="str">
            <v>Физкультурно-оздоровительная работа и спортивные мероприятия</v>
          </cell>
          <cell r="B1506" t="str">
            <v>904</v>
          </cell>
          <cell r="C1506" t="str">
            <v>09</v>
          </cell>
          <cell r="D1506" t="str">
            <v>08</v>
          </cell>
          <cell r="E1506" t="str">
            <v>512 00 00</v>
          </cell>
          <cell r="F1506" t="str">
            <v>000</v>
          </cell>
        </row>
        <row r="1507">
          <cell r="A1507" t="str">
            <v>Мероприятия в области здравоохранения, спорта и физической культуры, туризма </v>
          </cell>
          <cell r="B1507" t="str">
            <v>904</v>
          </cell>
          <cell r="C1507" t="str">
            <v>09</v>
          </cell>
          <cell r="D1507" t="str">
            <v>08</v>
          </cell>
          <cell r="E1507" t="str">
            <v>512 97 00</v>
          </cell>
          <cell r="F1507" t="str">
            <v>000</v>
          </cell>
        </row>
        <row r="1508">
          <cell r="A1508" t="str">
            <v>Выполнение функций органами местного самоуправления</v>
          </cell>
          <cell r="B1508" t="str">
            <v>904</v>
          </cell>
          <cell r="C1508" t="str">
            <v>09</v>
          </cell>
          <cell r="D1508" t="str">
            <v>08</v>
          </cell>
          <cell r="E1508" t="str">
            <v>512 97 00</v>
          </cell>
          <cell r="F1508" t="str">
            <v>500</v>
          </cell>
        </row>
        <row r="1509">
          <cell r="A1509" t="str">
            <v>Расходы</v>
          </cell>
          <cell r="B1509" t="str">
            <v>904</v>
          </cell>
          <cell r="C1509" t="str">
            <v>09</v>
          </cell>
          <cell r="D1509" t="str">
            <v>08</v>
          </cell>
          <cell r="E1509" t="str">
            <v>512 97 00</v>
          </cell>
          <cell r="F1509" t="str">
            <v>500</v>
          </cell>
        </row>
        <row r="1510">
          <cell r="A1510" t="str">
            <v>Приобретение услуг</v>
          </cell>
          <cell r="B1510" t="str">
            <v>904</v>
          </cell>
          <cell r="C1510" t="str">
            <v>09</v>
          </cell>
          <cell r="D1510" t="str">
            <v>08</v>
          </cell>
          <cell r="E1510" t="str">
            <v>512 97 00</v>
          </cell>
          <cell r="F1510" t="str">
            <v>500</v>
          </cell>
        </row>
        <row r="1511">
          <cell r="A1511" t="str">
            <v>Транспортные услуги</v>
          </cell>
          <cell r="B1511" t="str">
            <v>902</v>
          </cell>
          <cell r="C1511" t="str">
            <v>09</v>
          </cell>
          <cell r="D1511" t="str">
            <v>08</v>
          </cell>
          <cell r="E1511" t="str">
            <v>512 97 00</v>
          </cell>
          <cell r="F1511" t="str">
            <v>500</v>
          </cell>
        </row>
        <row r="1512">
          <cell r="A1512" t="str">
            <v>Прочие услуги</v>
          </cell>
          <cell r="B1512" t="str">
            <v>902</v>
          </cell>
          <cell r="C1512" t="str">
            <v>09</v>
          </cell>
          <cell r="D1512" t="str">
            <v>08</v>
          </cell>
          <cell r="E1512" t="str">
            <v>512 97 00</v>
          </cell>
          <cell r="F1512" t="str">
            <v>500</v>
          </cell>
        </row>
        <row r="1513">
          <cell r="A1513" t="str">
            <v>Прочие расходы</v>
          </cell>
          <cell r="B1513" t="str">
            <v>902</v>
          </cell>
          <cell r="C1513" t="str">
            <v>09</v>
          </cell>
          <cell r="D1513" t="str">
            <v>08</v>
          </cell>
          <cell r="E1513" t="str">
            <v>512 97 00</v>
          </cell>
          <cell r="F1513" t="str">
            <v>500</v>
          </cell>
        </row>
        <row r="1514">
          <cell r="A1514" t="str">
            <v>Прочие услуги</v>
          </cell>
          <cell r="B1514" t="str">
            <v>902</v>
          </cell>
          <cell r="C1514" t="str">
            <v>09</v>
          </cell>
          <cell r="D1514" t="str">
            <v>08</v>
          </cell>
          <cell r="E1514" t="str">
            <v>512 97 00</v>
          </cell>
          <cell r="F1514" t="str">
            <v>500</v>
          </cell>
        </row>
        <row r="1515">
          <cell r="A1515" t="str">
            <v>Прочие расходы</v>
          </cell>
          <cell r="B1515" t="str">
            <v>904</v>
          </cell>
          <cell r="C1515" t="str">
            <v>09</v>
          </cell>
          <cell r="D1515" t="str">
            <v>08</v>
          </cell>
          <cell r="E1515" t="str">
            <v>512 97 00</v>
          </cell>
          <cell r="F1515" t="str">
            <v>500</v>
          </cell>
        </row>
        <row r="1516">
          <cell r="A1516" t="str">
            <v>Прочие расходы</v>
          </cell>
          <cell r="B1516" t="str">
            <v>902</v>
          </cell>
          <cell r="C1516" t="str">
            <v>09</v>
          </cell>
          <cell r="D1516" t="str">
            <v>08</v>
          </cell>
          <cell r="E1516" t="str">
            <v>512 97 00</v>
          </cell>
          <cell r="F1516" t="str">
            <v>500</v>
          </cell>
        </row>
        <row r="1517">
          <cell r="A1517" t="str">
            <v>Поступление нефинансовых активов</v>
          </cell>
          <cell r="B1517" t="str">
            <v>904</v>
          </cell>
          <cell r="C1517" t="str">
            <v>09</v>
          </cell>
          <cell r="D1517" t="str">
            <v>08</v>
          </cell>
          <cell r="E1517" t="str">
            <v>512 97 00</v>
          </cell>
          <cell r="F1517" t="str">
            <v>500</v>
          </cell>
        </row>
        <row r="1518">
          <cell r="A1518" t="str">
            <v>Увеличение стоимости материальных запасов </v>
          </cell>
          <cell r="B1518" t="str">
            <v>906</v>
          </cell>
          <cell r="C1518" t="str">
            <v>09</v>
          </cell>
          <cell r="D1518" t="str">
            <v>08</v>
          </cell>
          <cell r="E1518" t="str">
            <v>512 97 00</v>
          </cell>
          <cell r="F1518" t="str">
            <v>500</v>
          </cell>
        </row>
        <row r="1519">
          <cell r="A1519" t="str">
            <v>Региональные целевые программы</v>
          </cell>
          <cell r="B1519" t="str">
            <v>907</v>
          </cell>
          <cell r="C1519" t="str">
            <v>09</v>
          </cell>
          <cell r="D1519" t="str">
            <v>08</v>
          </cell>
          <cell r="E1519" t="str">
            <v>512 97 00</v>
          </cell>
          <cell r="F1519" t="str">
            <v>500</v>
          </cell>
        </row>
        <row r="1520">
          <cell r="A1520" t="str">
            <v>Мероприятия в области здравоохранения, спорта и физической культуры </v>
          </cell>
          <cell r="B1520" t="str">
            <v>908</v>
          </cell>
          <cell r="C1520" t="str">
            <v>09</v>
          </cell>
          <cell r="D1520" t="str">
            <v>08</v>
          </cell>
          <cell r="E1520" t="str">
            <v>512 97 00</v>
          </cell>
          <cell r="F1520" t="str">
            <v>500</v>
          </cell>
        </row>
        <row r="1521">
          <cell r="A1521" t="str">
            <v>Прочие услуги </v>
          </cell>
          <cell r="B1521" t="str">
            <v>909</v>
          </cell>
          <cell r="C1521" t="str">
            <v>09</v>
          </cell>
          <cell r="D1521" t="str">
            <v>08</v>
          </cell>
          <cell r="E1521" t="str">
            <v>512 97 00</v>
          </cell>
          <cell r="F1521" t="str">
            <v>500</v>
          </cell>
        </row>
        <row r="1522">
          <cell r="A1522" t="str">
            <v>Увеличение стоимости материальных запасов</v>
          </cell>
          <cell r="B1522" t="str">
            <v>910</v>
          </cell>
          <cell r="C1522" t="str">
            <v>09</v>
          </cell>
          <cell r="D1522" t="str">
            <v>08</v>
          </cell>
          <cell r="E1522" t="str">
            <v>512 97 00</v>
          </cell>
          <cell r="F1522" t="str">
            <v>500</v>
          </cell>
        </row>
        <row r="1523">
          <cell r="A1523" t="str">
            <v>Увеличение стоимости материальных запасов</v>
          </cell>
          <cell r="B1523" t="str">
            <v>904</v>
          </cell>
          <cell r="C1523" t="str">
            <v>09</v>
          </cell>
          <cell r="D1523" t="str">
            <v>08</v>
          </cell>
          <cell r="E1523" t="str">
            <v>512 97 00</v>
          </cell>
          <cell r="F1523" t="str">
            <v>500</v>
          </cell>
        </row>
        <row r="1524">
          <cell r="A1524" t="str">
            <v>Целевые программы муниципальных образований </v>
          </cell>
          <cell r="B1524" t="str">
            <v>901</v>
          </cell>
          <cell r="C1524" t="str">
            <v>09</v>
          </cell>
          <cell r="D1524" t="str">
            <v>08</v>
          </cell>
          <cell r="E1524" t="str">
            <v>795 00 00</v>
          </cell>
          <cell r="F1524" t="str">
            <v>500</v>
          </cell>
        </row>
        <row r="1525">
          <cell r="A1525" t="str">
            <v>Мероприятие в области здравоохранения, спорта и физической культуры, туризма</v>
          </cell>
          <cell r="B1525" t="str">
            <v>901</v>
          </cell>
          <cell r="C1525" t="str">
            <v>09</v>
          </cell>
          <cell r="D1525" t="str">
            <v>08</v>
          </cell>
          <cell r="E1525" t="str">
            <v>795 00 00</v>
          </cell>
          <cell r="F1525" t="str">
            <v>500</v>
          </cell>
        </row>
        <row r="1526">
          <cell r="A1526" t="str">
            <v>Прочие услуги</v>
          </cell>
          <cell r="B1526" t="str">
            <v>901</v>
          </cell>
          <cell r="C1526" t="str">
            <v>09</v>
          </cell>
          <cell r="D1526" t="str">
            <v>08</v>
          </cell>
          <cell r="E1526" t="str">
            <v>795 00 00</v>
          </cell>
          <cell r="F1526" t="str">
            <v>500</v>
          </cell>
        </row>
        <row r="1527">
          <cell r="A1527" t="str">
            <v>Увеличение стоимости материальных запасов </v>
          </cell>
          <cell r="B1527" t="str">
            <v>901</v>
          </cell>
          <cell r="C1527" t="str">
            <v>09</v>
          </cell>
          <cell r="D1527" t="str">
            <v>08</v>
          </cell>
          <cell r="E1527" t="str">
            <v>795 00 00</v>
          </cell>
          <cell r="F1527" t="str">
            <v>500</v>
          </cell>
        </row>
        <row r="1528">
          <cell r="A1528" t="str">
            <v>Увеличение стоимости материальных запасов</v>
          </cell>
          <cell r="B1528" t="str">
            <v>902</v>
          </cell>
          <cell r="C1528" t="str">
            <v>09</v>
          </cell>
          <cell r="D1528" t="str">
            <v>08</v>
          </cell>
          <cell r="E1528" t="str">
            <v>512 97 00</v>
          </cell>
          <cell r="F1528" t="str">
            <v>500</v>
          </cell>
        </row>
        <row r="1529">
          <cell r="A1529" t="str">
            <v>Субсидии некоммерческим организациям</v>
          </cell>
          <cell r="B1529" t="str">
            <v>904</v>
          </cell>
          <cell r="C1529" t="str">
            <v>09</v>
          </cell>
          <cell r="D1529" t="str">
            <v>04</v>
          </cell>
          <cell r="E1529" t="str">
            <v>520 18 00</v>
          </cell>
          <cell r="F1529" t="str">
            <v>019</v>
          </cell>
        </row>
        <row r="1530">
          <cell r="A1530" t="str">
            <v>Другие вопросы в области здравоохранения, физической культуры и спорта</v>
          </cell>
          <cell r="B1530" t="str">
            <v>904</v>
          </cell>
          <cell r="C1530" t="str">
            <v>09</v>
          </cell>
          <cell r="D1530" t="str">
            <v>09</v>
          </cell>
          <cell r="E1530" t="str">
            <v>000 00 00</v>
          </cell>
          <cell r="F1530" t="str">
            <v>000</v>
          </cell>
        </row>
        <row r="1531">
          <cell r="A1531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1531" t="str">
            <v>904</v>
          </cell>
          <cell r="C1531" t="str">
            <v>09</v>
          </cell>
          <cell r="D1531" t="str">
            <v>09</v>
          </cell>
          <cell r="E1531" t="str">
            <v>002 00 00</v>
          </cell>
          <cell r="F1531" t="str">
            <v>000</v>
          </cell>
        </row>
        <row r="1532">
          <cell r="A1532" t="str">
            <v>Центральный аппарат</v>
          </cell>
          <cell r="B1532" t="str">
            <v>904</v>
          </cell>
          <cell r="C1532" t="str">
            <v>09</v>
          </cell>
          <cell r="D1532" t="str">
            <v>09</v>
          </cell>
          <cell r="E1532" t="str">
            <v>002 04 00</v>
          </cell>
          <cell r="F1532" t="str">
            <v>000</v>
          </cell>
        </row>
        <row r="1533">
          <cell r="A1533" t="str">
            <v>Выполнение функций органами местного самоуправления</v>
          </cell>
          <cell r="B1533" t="str">
            <v>904</v>
          </cell>
          <cell r="C1533" t="str">
            <v>09</v>
          </cell>
          <cell r="D1533" t="str">
            <v>09</v>
          </cell>
          <cell r="E1533" t="str">
            <v>002 04 00</v>
          </cell>
          <cell r="F1533" t="str">
            <v>500</v>
          </cell>
        </row>
        <row r="1534">
          <cell r="A1534" t="str">
            <v>Расходы</v>
          </cell>
          <cell r="B1534" t="str">
            <v>904</v>
          </cell>
          <cell r="C1534" t="str">
            <v>09</v>
          </cell>
          <cell r="D1534" t="str">
            <v>09</v>
          </cell>
          <cell r="E1534" t="str">
            <v>002 04 00</v>
          </cell>
          <cell r="F1534" t="str">
            <v>500</v>
          </cell>
        </row>
        <row r="1535">
          <cell r="A1535" t="str">
            <v>Оплата труда и начисления на оплату труда</v>
          </cell>
          <cell r="B1535" t="str">
            <v>904</v>
          </cell>
          <cell r="C1535" t="str">
            <v>09</v>
          </cell>
          <cell r="D1535" t="str">
            <v>09</v>
          </cell>
          <cell r="E1535" t="str">
            <v>002 04 00</v>
          </cell>
          <cell r="F1535" t="str">
            <v>500</v>
          </cell>
        </row>
        <row r="1536">
          <cell r="A1536" t="str">
            <v>Заработная плата</v>
          </cell>
          <cell r="B1536" t="str">
            <v>904</v>
          </cell>
          <cell r="C1536" t="str">
            <v>09</v>
          </cell>
          <cell r="D1536" t="str">
            <v>09</v>
          </cell>
          <cell r="E1536" t="str">
            <v>002 04 00</v>
          </cell>
          <cell r="F1536" t="str">
            <v>500</v>
          </cell>
        </row>
        <row r="1537">
          <cell r="A1537" t="str">
            <v>Прочие выплаты</v>
          </cell>
          <cell r="B1537" t="str">
            <v>904</v>
          </cell>
          <cell r="C1537" t="str">
            <v>09</v>
          </cell>
          <cell r="D1537" t="str">
            <v>09</v>
          </cell>
          <cell r="E1537" t="str">
            <v>002 04 00</v>
          </cell>
          <cell r="F1537" t="str">
            <v>500</v>
          </cell>
        </row>
        <row r="1538">
          <cell r="A1538" t="str">
            <v>Начисление на оплату труда</v>
          </cell>
          <cell r="B1538" t="str">
            <v>904</v>
          </cell>
          <cell r="C1538" t="str">
            <v>09</v>
          </cell>
          <cell r="D1538" t="str">
            <v>09</v>
          </cell>
          <cell r="E1538" t="str">
            <v>002 04 00</v>
          </cell>
          <cell r="F1538" t="str">
            <v>500</v>
          </cell>
        </row>
        <row r="1539">
          <cell r="A1539" t="str">
            <v>Приобретение услуг</v>
          </cell>
          <cell r="B1539" t="str">
            <v>904</v>
          </cell>
          <cell r="C1539" t="str">
            <v>09</v>
          </cell>
          <cell r="D1539" t="str">
            <v>09</v>
          </cell>
          <cell r="E1539" t="str">
            <v>002 04 00</v>
          </cell>
          <cell r="F1539" t="str">
            <v>500</v>
          </cell>
        </row>
        <row r="1540">
          <cell r="A1540" t="str">
            <v>Услуги связи </v>
          </cell>
          <cell r="B1540" t="str">
            <v>904</v>
          </cell>
          <cell r="C1540" t="str">
            <v>09</v>
          </cell>
          <cell r="D1540" t="str">
            <v>09</v>
          </cell>
          <cell r="E1540" t="str">
            <v>002 04 00</v>
          </cell>
          <cell r="F1540" t="str">
            <v>500</v>
          </cell>
        </row>
        <row r="1541">
          <cell r="A1541" t="str">
            <v>Транспортные услуги</v>
          </cell>
          <cell r="B1541" t="str">
            <v>904</v>
          </cell>
          <cell r="C1541" t="str">
            <v>09</v>
          </cell>
          <cell r="D1541" t="str">
            <v>09</v>
          </cell>
          <cell r="E1541" t="str">
            <v>002 04 00</v>
          </cell>
          <cell r="F1541" t="str">
            <v>500</v>
          </cell>
        </row>
        <row r="1542">
          <cell r="A1542" t="str">
            <v>Коммунальные услуги</v>
          </cell>
          <cell r="B1542" t="str">
            <v>904</v>
          </cell>
          <cell r="C1542" t="str">
            <v>09</v>
          </cell>
          <cell r="D1542" t="str">
            <v>09</v>
          </cell>
          <cell r="E1542" t="str">
            <v>002 04 00</v>
          </cell>
          <cell r="F1542" t="str">
            <v>500</v>
          </cell>
        </row>
        <row r="1543">
          <cell r="A1543" t="str">
            <v>Арендная плата за пользование иммуществом </v>
          </cell>
          <cell r="B1543" t="str">
            <v>904</v>
          </cell>
          <cell r="C1543" t="str">
            <v>09</v>
          </cell>
          <cell r="D1543" t="str">
            <v>09</v>
          </cell>
          <cell r="E1543" t="str">
            <v>002 04 00</v>
          </cell>
          <cell r="F1543" t="str">
            <v>500</v>
          </cell>
        </row>
        <row r="1544">
          <cell r="A1544" t="str">
            <v>Услуги по содержанию иммущества</v>
          </cell>
          <cell r="B1544" t="str">
            <v>904</v>
          </cell>
          <cell r="C1544" t="str">
            <v>09</v>
          </cell>
          <cell r="D1544" t="str">
            <v>09</v>
          </cell>
          <cell r="E1544" t="str">
            <v>002 04 00</v>
          </cell>
          <cell r="F1544" t="str">
            <v>500</v>
          </cell>
        </row>
        <row r="1545">
          <cell r="A1545" t="str">
            <v>Прочие услуги</v>
          </cell>
          <cell r="B1545" t="str">
            <v>904</v>
          </cell>
          <cell r="C1545" t="str">
            <v>09</v>
          </cell>
          <cell r="D1545" t="str">
            <v>09</v>
          </cell>
          <cell r="E1545" t="str">
            <v>002 04 00</v>
          </cell>
          <cell r="F1545" t="str">
            <v>500</v>
          </cell>
        </row>
        <row r="1546">
          <cell r="A1546" t="str">
            <v>Прочие расходы </v>
          </cell>
          <cell r="B1546" t="str">
            <v>904</v>
          </cell>
          <cell r="C1546" t="str">
            <v>09</v>
          </cell>
          <cell r="D1546" t="str">
            <v>09</v>
          </cell>
          <cell r="E1546" t="str">
            <v>002 04 00</v>
          </cell>
          <cell r="F1546" t="str">
            <v>500</v>
          </cell>
        </row>
        <row r="1547">
          <cell r="A1547" t="str">
            <v>Поступление нефинансовых активов</v>
          </cell>
          <cell r="B1547" t="str">
            <v>904</v>
          </cell>
          <cell r="C1547" t="str">
            <v>09</v>
          </cell>
          <cell r="D1547" t="str">
            <v>09</v>
          </cell>
          <cell r="E1547" t="str">
            <v>002 04 00</v>
          </cell>
          <cell r="F1547" t="str">
            <v>500</v>
          </cell>
        </row>
        <row r="1548">
          <cell r="A1548" t="str">
            <v>Увеличение стоимости основных средств</v>
          </cell>
          <cell r="B1548" t="str">
            <v>904</v>
          </cell>
          <cell r="C1548" t="str">
            <v>09</v>
          </cell>
          <cell r="D1548" t="str">
            <v>09</v>
          </cell>
          <cell r="E1548" t="str">
            <v>002 04 00</v>
          </cell>
          <cell r="F1548" t="str">
            <v>500</v>
          </cell>
        </row>
        <row r="1549">
          <cell r="A1549" t="str">
            <v>Увеличение стоимости материальных запасов</v>
          </cell>
          <cell r="B1549" t="str">
            <v>904</v>
          </cell>
          <cell r="C1549" t="str">
            <v>09</v>
          </cell>
          <cell r="D1549" t="str">
            <v>09</v>
          </cell>
          <cell r="E1549" t="str">
            <v>002 04 00</v>
          </cell>
          <cell r="F1549" t="str">
            <v>500</v>
          </cell>
        </row>
        <row r="1550">
          <cell r="A1550" t="str">
            <v>Оплата труда и начисления на оплату труда</v>
          </cell>
          <cell r="B1550" t="str">
            <v>904</v>
          </cell>
          <cell r="C1550" t="str">
            <v>09</v>
          </cell>
          <cell r="D1550" t="str">
            <v>09</v>
          </cell>
          <cell r="E1550" t="str">
            <v>001 00 00</v>
          </cell>
          <cell r="F1550" t="str">
            <v>005</v>
          </cell>
        </row>
        <row r="1551">
          <cell r="A1551" t="str">
            <v>Заработная плата</v>
          </cell>
          <cell r="B1551" t="str">
            <v>904</v>
          </cell>
          <cell r="C1551" t="str">
            <v>09</v>
          </cell>
          <cell r="D1551" t="str">
            <v>09</v>
          </cell>
          <cell r="E1551" t="str">
            <v>001 00 00</v>
          </cell>
          <cell r="F1551" t="str">
            <v>005</v>
          </cell>
        </row>
        <row r="1552">
          <cell r="A1552" t="str">
            <v>Прочие выплаты</v>
          </cell>
          <cell r="B1552" t="str">
            <v>904</v>
          </cell>
          <cell r="C1552" t="str">
            <v>09</v>
          </cell>
          <cell r="D1552" t="str">
            <v>09</v>
          </cell>
          <cell r="E1552" t="str">
            <v>001 00 00</v>
          </cell>
          <cell r="F1552" t="str">
            <v>005</v>
          </cell>
        </row>
        <row r="1553">
          <cell r="A1553" t="str">
            <v>Начисление на оплату труда</v>
          </cell>
          <cell r="B1553" t="str">
            <v>904</v>
          </cell>
          <cell r="C1553" t="str">
            <v>09</v>
          </cell>
          <cell r="D1553" t="str">
            <v>09</v>
          </cell>
          <cell r="E1553" t="str">
            <v>001 00 00</v>
          </cell>
          <cell r="F1553" t="str">
            <v>005</v>
          </cell>
        </row>
        <row r="1554">
          <cell r="A1554" t="str">
            <v>Приобретение услуг</v>
          </cell>
          <cell r="B1554" t="str">
            <v>904</v>
          </cell>
          <cell r="C1554" t="str">
            <v>09</v>
          </cell>
          <cell r="D1554" t="str">
            <v>09</v>
          </cell>
          <cell r="E1554" t="str">
            <v>001 00 00</v>
          </cell>
          <cell r="F1554" t="str">
            <v>005</v>
          </cell>
        </row>
        <row r="1555">
          <cell r="A1555" t="str">
            <v>Услуги связи </v>
          </cell>
          <cell r="B1555" t="str">
            <v>904</v>
          </cell>
          <cell r="C1555" t="str">
            <v>09</v>
          </cell>
          <cell r="D1555" t="str">
            <v>09</v>
          </cell>
          <cell r="E1555" t="str">
            <v>001 00 00</v>
          </cell>
          <cell r="F1555" t="str">
            <v>005</v>
          </cell>
        </row>
        <row r="1556">
          <cell r="A1556" t="str">
            <v>Транспортные услуги</v>
          </cell>
          <cell r="B1556" t="str">
            <v>904</v>
          </cell>
          <cell r="C1556" t="str">
            <v>09</v>
          </cell>
          <cell r="D1556" t="str">
            <v>09</v>
          </cell>
          <cell r="E1556" t="str">
            <v>001 00 00</v>
          </cell>
          <cell r="F1556" t="str">
            <v>005</v>
          </cell>
        </row>
        <row r="1557">
          <cell r="A1557" t="str">
            <v>Коммунальные услуги</v>
          </cell>
          <cell r="B1557" t="str">
            <v>904</v>
          </cell>
          <cell r="C1557" t="str">
            <v>09</v>
          </cell>
          <cell r="D1557" t="str">
            <v>09</v>
          </cell>
          <cell r="E1557" t="str">
            <v>001 00 00</v>
          </cell>
          <cell r="F1557" t="str">
            <v>005</v>
          </cell>
        </row>
        <row r="1558">
          <cell r="A1558" t="str">
            <v>Арендная плата за пользование иммуществом </v>
          </cell>
          <cell r="B1558" t="str">
            <v>904</v>
          </cell>
          <cell r="C1558" t="str">
            <v>09</v>
          </cell>
          <cell r="D1558" t="str">
            <v>09</v>
          </cell>
          <cell r="E1558" t="str">
            <v>001 00 00</v>
          </cell>
          <cell r="F1558" t="str">
            <v>005</v>
          </cell>
        </row>
        <row r="1559">
          <cell r="A1559" t="str">
            <v>Услуги по содержанию иммущества</v>
          </cell>
          <cell r="B1559" t="str">
            <v>904</v>
          </cell>
          <cell r="C1559" t="str">
            <v>09</v>
          </cell>
          <cell r="D1559" t="str">
            <v>09</v>
          </cell>
          <cell r="E1559" t="str">
            <v>001 00 00</v>
          </cell>
          <cell r="F1559" t="str">
            <v>005</v>
          </cell>
        </row>
        <row r="1560">
          <cell r="A1560" t="str">
            <v>Прочие услуги</v>
          </cell>
          <cell r="B1560" t="str">
            <v>904</v>
          </cell>
          <cell r="C1560" t="str">
            <v>09</v>
          </cell>
          <cell r="D1560" t="str">
            <v>09</v>
          </cell>
          <cell r="E1560" t="str">
            <v>001 00 00</v>
          </cell>
          <cell r="F1560" t="str">
            <v>005</v>
          </cell>
        </row>
        <row r="1561">
          <cell r="A1561" t="str">
            <v>Прочие расходы </v>
          </cell>
          <cell r="B1561" t="str">
            <v>904</v>
          </cell>
          <cell r="C1561" t="str">
            <v>09</v>
          </cell>
          <cell r="D1561" t="str">
            <v>09</v>
          </cell>
          <cell r="E1561" t="str">
            <v>001 00 00</v>
          </cell>
          <cell r="F1561" t="str">
            <v>005</v>
          </cell>
        </row>
        <row r="1562">
          <cell r="A1562" t="str">
            <v>Поступление нефинансовых активов</v>
          </cell>
          <cell r="B1562" t="str">
            <v>904</v>
          </cell>
          <cell r="C1562" t="str">
            <v>09</v>
          </cell>
          <cell r="D1562" t="str">
            <v>09</v>
          </cell>
          <cell r="E1562" t="str">
            <v>001 00 00</v>
          </cell>
          <cell r="F1562" t="str">
            <v>005</v>
          </cell>
        </row>
        <row r="1563">
          <cell r="A1563" t="str">
            <v>Увеличение стоимости основных средств</v>
          </cell>
          <cell r="B1563" t="str">
            <v>904</v>
          </cell>
          <cell r="C1563" t="str">
            <v>09</v>
          </cell>
          <cell r="D1563" t="str">
            <v>09</v>
          </cell>
          <cell r="E1563" t="str">
            <v>001 00 00</v>
          </cell>
          <cell r="F1563" t="str">
            <v>005</v>
          </cell>
        </row>
        <row r="1564">
          <cell r="A1564" t="str">
            <v>Увеличение стоимости материальных запасов</v>
          </cell>
          <cell r="B1564" t="str">
            <v>904</v>
          </cell>
          <cell r="C1564" t="str">
            <v>09</v>
          </cell>
          <cell r="D1564" t="str">
            <v>09</v>
          </cell>
          <cell r="E1564" t="str">
            <v>001 00 00</v>
          </cell>
          <cell r="F1564" t="str">
            <v>005</v>
          </cell>
        </row>
        <row r="1565">
          <cell r="A1565" t="str">
            <v>Межбюджетные трансферты на погашение кредиторской задолженности муниципальных учреждений по страховым взносам в Пенсионный фонд Российской Федерации на обязательное пенсионное страхование, сложившейся за период с 1 января 2001 года до 1 января 2010 года</v>
          </cell>
          <cell r="B1565" t="str">
            <v>904</v>
          </cell>
          <cell r="C1565" t="str">
            <v>09</v>
          </cell>
          <cell r="D1565" t="str">
            <v>09</v>
          </cell>
          <cell r="E1565" t="str">
            <v>603 00 00</v>
          </cell>
          <cell r="F1565" t="str">
            <v>001</v>
          </cell>
        </row>
        <row r="1566">
          <cell r="B1566" t="str">
            <v>905</v>
          </cell>
          <cell r="C1566" t="str">
            <v>08</v>
          </cell>
          <cell r="D1566" t="str">
            <v>04</v>
          </cell>
          <cell r="E1566" t="str">
            <v>603 00 00</v>
          </cell>
          <cell r="F1566" t="str">
            <v>001</v>
          </cell>
        </row>
        <row r="1567">
          <cell r="B1567" t="str">
            <v>905</v>
          </cell>
          <cell r="C1567" t="str">
            <v>08</v>
          </cell>
          <cell r="D1567" t="str">
            <v>04</v>
          </cell>
          <cell r="E1567" t="str">
            <v>603 00 00</v>
          </cell>
          <cell r="F1567" t="str">
            <v>001</v>
          </cell>
        </row>
        <row r="1568">
          <cell r="A1568" t="str">
            <v>Выполнение функций органами местного самоуправления</v>
          </cell>
          <cell r="B1568" t="str">
            <v>904</v>
          </cell>
          <cell r="C1568" t="str">
            <v>09</v>
          </cell>
          <cell r="D1568" t="str">
            <v>09</v>
          </cell>
          <cell r="E1568" t="str">
            <v>603 00 00</v>
          </cell>
          <cell r="F1568" t="str">
            <v>001</v>
          </cell>
        </row>
        <row r="1569">
          <cell r="A1569" t="str">
            <v>Расходы</v>
          </cell>
          <cell r="B1569" t="str">
            <v>904</v>
          </cell>
          <cell r="C1569" t="str">
            <v>09</v>
          </cell>
          <cell r="D1569" t="str">
            <v>09</v>
          </cell>
          <cell r="E1569" t="str">
            <v>603 00 00</v>
          </cell>
          <cell r="F1569" t="str">
            <v>001</v>
          </cell>
        </row>
        <row r="1570">
          <cell r="A1570" t="str">
            <v>Оплата труда и начисления на оплату труда</v>
          </cell>
          <cell r="B1570" t="str">
            <v>904</v>
          </cell>
          <cell r="C1570" t="str">
            <v>09</v>
          </cell>
          <cell r="D1570" t="str">
            <v>09</v>
          </cell>
          <cell r="E1570" t="str">
            <v>603 00 00</v>
          </cell>
          <cell r="F1570" t="str">
            <v>001</v>
          </cell>
        </row>
        <row r="1571">
          <cell r="A1571" t="str">
            <v>Начисление на оплату труда</v>
          </cell>
          <cell r="B1571" t="str">
            <v>904</v>
          </cell>
          <cell r="C1571" t="str">
            <v>09</v>
          </cell>
          <cell r="D1571" t="str">
            <v>09</v>
          </cell>
          <cell r="E1571" t="str">
            <v>603 00 00</v>
          </cell>
          <cell r="F1571" t="str">
            <v>001</v>
          </cell>
        </row>
        <row r="1572">
          <cell r="A1572" t="str">
            <v>Учебно-методические кабинеты, центральные бухгалтерии, группы хоз.обслуживания</v>
          </cell>
          <cell r="B1572" t="str">
            <v>904</v>
          </cell>
          <cell r="C1572" t="str">
            <v>09</v>
          </cell>
          <cell r="D1572" t="str">
            <v>09</v>
          </cell>
          <cell r="E1572" t="str">
            <v>002 00 00</v>
          </cell>
          <cell r="F1572" t="str">
            <v>000</v>
          </cell>
        </row>
        <row r="1573">
          <cell r="A1573" t="str">
            <v>Осуществление отдельных областных государственных полномочий в области охраны здоровья граждан</v>
          </cell>
          <cell r="B1573" t="str">
            <v>904</v>
          </cell>
          <cell r="C1573" t="str">
            <v>09</v>
          </cell>
          <cell r="D1573" t="str">
            <v>09</v>
          </cell>
          <cell r="E1573" t="str">
            <v>002 52 00</v>
          </cell>
          <cell r="F1573" t="str">
            <v>000</v>
          </cell>
        </row>
        <row r="1574">
          <cell r="A1574" t="str">
            <v>Выполнение функций бюджетными учреждениями</v>
          </cell>
          <cell r="B1574" t="str">
            <v>904</v>
          </cell>
          <cell r="C1574" t="str">
            <v>09</v>
          </cell>
          <cell r="D1574" t="str">
            <v>09</v>
          </cell>
          <cell r="E1574" t="str">
            <v>002 52 00</v>
          </cell>
          <cell r="F1574" t="str">
            <v>001</v>
          </cell>
        </row>
        <row r="1575">
          <cell r="A1575" t="str">
            <v>Субсидии некоммерческим организациям</v>
          </cell>
          <cell r="B1575" t="str">
            <v>904</v>
          </cell>
          <cell r="C1575" t="str">
            <v>09</v>
          </cell>
          <cell r="D1575" t="str">
            <v>09</v>
          </cell>
          <cell r="E1575" t="str">
            <v>002 52 00</v>
          </cell>
          <cell r="F1575" t="str">
            <v>019</v>
          </cell>
        </row>
        <row r="1576">
          <cell r="A1576" t="str">
            <v>Учебно-методические кабинеты, центральные бухгалтерии, группы хоз.обслуживания</v>
          </cell>
          <cell r="B1576" t="str">
            <v>904</v>
          </cell>
          <cell r="C1576" t="str">
            <v>09</v>
          </cell>
          <cell r="D1576" t="str">
            <v>09</v>
          </cell>
          <cell r="E1576" t="str">
            <v>452 00 00</v>
          </cell>
          <cell r="F1576" t="str">
            <v>000</v>
          </cell>
        </row>
        <row r="1577">
          <cell r="A1577" t="str">
            <v>Обеспечение деятельности подведомственных учреждений</v>
          </cell>
          <cell r="B1577" t="str">
            <v>904</v>
          </cell>
          <cell r="C1577" t="str">
            <v>09</v>
          </cell>
          <cell r="D1577" t="str">
            <v>09</v>
          </cell>
          <cell r="E1577" t="str">
            <v>452 99 00</v>
          </cell>
          <cell r="F1577" t="str">
            <v>000</v>
          </cell>
        </row>
        <row r="1578">
          <cell r="A1578" t="str">
            <v>Выполнение функций бюджетными учреждениями</v>
          </cell>
          <cell r="B1578" t="str">
            <v>904</v>
          </cell>
          <cell r="C1578" t="str">
            <v>09</v>
          </cell>
          <cell r="D1578" t="str">
            <v>09</v>
          </cell>
          <cell r="E1578" t="str">
            <v>452 99 00</v>
          </cell>
          <cell r="F1578" t="str">
            <v>001</v>
          </cell>
        </row>
        <row r="1579">
          <cell r="A1579" t="str">
            <v>Расходы</v>
          </cell>
          <cell r="B1579" t="str">
            <v>904</v>
          </cell>
          <cell r="C1579" t="str">
            <v>09</v>
          </cell>
          <cell r="D1579" t="str">
            <v>09</v>
          </cell>
          <cell r="E1579" t="str">
            <v>452 99 00</v>
          </cell>
          <cell r="F1579" t="str">
            <v>001</v>
          </cell>
        </row>
        <row r="1580">
          <cell r="A1580" t="str">
            <v>Оплата труда и начисления на оплату труда</v>
          </cell>
          <cell r="B1580" t="str">
            <v>904</v>
          </cell>
          <cell r="C1580" t="str">
            <v>09</v>
          </cell>
          <cell r="D1580" t="str">
            <v>09</v>
          </cell>
          <cell r="E1580" t="str">
            <v>452 99 00</v>
          </cell>
          <cell r="F1580" t="str">
            <v>001</v>
          </cell>
        </row>
        <row r="1581">
          <cell r="A1581" t="str">
            <v>Заработная плата</v>
          </cell>
          <cell r="B1581" t="str">
            <v>904</v>
          </cell>
          <cell r="C1581" t="str">
            <v>09</v>
          </cell>
          <cell r="D1581" t="str">
            <v>09</v>
          </cell>
          <cell r="E1581" t="str">
            <v>452 99 00</v>
          </cell>
          <cell r="F1581" t="str">
            <v>001</v>
          </cell>
        </row>
        <row r="1582">
          <cell r="A1582" t="str">
            <v>Прочие выплаты</v>
          </cell>
          <cell r="B1582" t="str">
            <v>904</v>
          </cell>
          <cell r="C1582" t="str">
            <v>09</v>
          </cell>
          <cell r="D1582" t="str">
            <v>09</v>
          </cell>
          <cell r="E1582" t="str">
            <v>452 99 00</v>
          </cell>
          <cell r="F1582" t="str">
            <v>001</v>
          </cell>
        </row>
        <row r="1583">
          <cell r="A1583" t="str">
            <v>Начисление на оплату труда</v>
          </cell>
          <cell r="B1583" t="str">
            <v>904</v>
          </cell>
          <cell r="C1583" t="str">
            <v>09</v>
          </cell>
          <cell r="D1583" t="str">
            <v>09</v>
          </cell>
          <cell r="E1583" t="str">
            <v>452 99 00</v>
          </cell>
          <cell r="F1583" t="str">
            <v>001</v>
          </cell>
        </row>
        <row r="1584">
          <cell r="A1584" t="str">
            <v>Приобретение услуг</v>
          </cell>
          <cell r="B1584" t="str">
            <v>904</v>
          </cell>
          <cell r="C1584" t="str">
            <v>09</v>
          </cell>
          <cell r="D1584" t="str">
            <v>09</v>
          </cell>
          <cell r="E1584" t="str">
            <v>452 99 00</v>
          </cell>
          <cell r="F1584" t="str">
            <v>001</v>
          </cell>
        </row>
        <row r="1585">
          <cell r="A1585" t="str">
            <v>Услуги связи </v>
          </cell>
          <cell r="B1585" t="str">
            <v>904</v>
          </cell>
          <cell r="C1585" t="str">
            <v>09</v>
          </cell>
          <cell r="D1585" t="str">
            <v>09</v>
          </cell>
          <cell r="E1585" t="str">
            <v>452 99 00</v>
          </cell>
          <cell r="F1585" t="str">
            <v>001</v>
          </cell>
        </row>
        <row r="1586">
          <cell r="A1586" t="str">
            <v>Транспортные услуги</v>
          </cell>
          <cell r="B1586" t="str">
            <v>904</v>
          </cell>
          <cell r="C1586" t="str">
            <v>09</v>
          </cell>
          <cell r="D1586" t="str">
            <v>09</v>
          </cell>
          <cell r="E1586" t="str">
            <v>452 99 00</v>
          </cell>
          <cell r="F1586" t="str">
            <v>001</v>
          </cell>
        </row>
        <row r="1587">
          <cell r="A1587" t="str">
            <v>Коммунальные услуги</v>
          </cell>
          <cell r="B1587" t="str">
            <v>904</v>
          </cell>
          <cell r="C1587" t="str">
            <v>09</v>
          </cell>
          <cell r="D1587" t="str">
            <v>09</v>
          </cell>
          <cell r="E1587" t="str">
            <v>452 99 00</v>
          </cell>
          <cell r="F1587" t="str">
            <v>001</v>
          </cell>
        </row>
        <row r="1588">
          <cell r="A1588" t="str">
            <v>Арендная плата за пользование иммуществом </v>
          </cell>
          <cell r="B1588" t="str">
            <v>904</v>
          </cell>
          <cell r="C1588" t="str">
            <v>09</v>
          </cell>
          <cell r="D1588" t="str">
            <v>09</v>
          </cell>
          <cell r="E1588" t="str">
            <v>452 99 00</v>
          </cell>
          <cell r="F1588" t="str">
            <v>001</v>
          </cell>
        </row>
        <row r="1589">
          <cell r="A1589" t="str">
            <v>Услуги по содержанию иммущества</v>
          </cell>
          <cell r="B1589" t="str">
            <v>904</v>
          </cell>
          <cell r="C1589" t="str">
            <v>09</v>
          </cell>
          <cell r="D1589" t="str">
            <v>09</v>
          </cell>
          <cell r="E1589" t="str">
            <v>452 99 00</v>
          </cell>
          <cell r="F1589" t="str">
            <v>001</v>
          </cell>
        </row>
        <row r="1590">
          <cell r="A1590" t="str">
            <v>Прочие услуги</v>
          </cell>
          <cell r="B1590" t="str">
            <v>904</v>
          </cell>
          <cell r="C1590" t="str">
            <v>09</v>
          </cell>
          <cell r="D1590" t="str">
            <v>09</v>
          </cell>
          <cell r="E1590" t="str">
            <v>452 99 00</v>
          </cell>
          <cell r="F1590" t="str">
            <v>001</v>
          </cell>
        </row>
        <row r="1591">
          <cell r="A1591" t="str">
            <v>Прочие расходы </v>
          </cell>
          <cell r="B1591" t="str">
            <v>904</v>
          </cell>
          <cell r="C1591" t="str">
            <v>09</v>
          </cell>
          <cell r="D1591" t="str">
            <v>09</v>
          </cell>
          <cell r="E1591" t="str">
            <v>452 99 00</v>
          </cell>
          <cell r="F1591" t="str">
            <v>001</v>
          </cell>
        </row>
        <row r="1592">
          <cell r="A1592" t="str">
            <v>Поступление нефинансовых активов</v>
          </cell>
          <cell r="B1592" t="str">
            <v>904</v>
          </cell>
          <cell r="C1592" t="str">
            <v>09</v>
          </cell>
          <cell r="D1592" t="str">
            <v>09</v>
          </cell>
          <cell r="E1592" t="str">
            <v>452 99 00</v>
          </cell>
          <cell r="F1592" t="str">
            <v>001</v>
          </cell>
        </row>
        <row r="1593">
          <cell r="A1593" t="str">
            <v>Увеличение стоимости основных средств</v>
          </cell>
          <cell r="B1593" t="str">
            <v>904</v>
          </cell>
          <cell r="C1593" t="str">
            <v>09</v>
          </cell>
          <cell r="D1593" t="str">
            <v>09</v>
          </cell>
          <cell r="E1593" t="str">
            <v>452 99 00</v>
          </cell>
          <cell r="F1593" t="str">
            <v>001</v>
          </cell>
        </row>
        <row r="1594">
          <cell r="A1594" t="str">
            <v>Увеличение стоимости материальных запасов</v>
          </cell>
          <cell r="B1594" t="str">
            <v>904</v>
          </cell>
          <cell r="C1594" t="str">
            <v>09</v>
          </cell>
          <cell r="D1594" t="str">
            <v>09</v>
          </cell>
          <cell r="E1594" t="str">
            <v>452 99 00</v>
          </cell>
          <cell r="F1594" t="str">
            <v>001</v>
          </cell>
        </row>
        <row r="1595">
          <cell r="A1595" t="str">
            <v>Региональные целевые программы</v>
          </cell>
          <cell r="B1595" t="str">
            <v>901</v>
          </cell>
          <cell r="C1595" t="str">
            <v>09</v>
          </cell>
          <cell r="D1595" t="str">
            <v>09</v>
          </cell>
          <cell r="E1595" t="str">
            <v>522 00 00</v>
          </cell>
          <cell r="F1595" t="str">
            <v>000</v>
          </cell>
        </row>
        <row r="1596">
          <cell r="A1596" t="str">
            <v>Мероприятия в области здравоохранения, спорта и физической культуры </v>
          </cell>
          <cell r="B1596" t="str">
            <v>901</v>
          </cell>
          <cell r="C1596" t="str">
            <v>09</v>
          </cell>
          <cell r="D1596" t="str">
            <v>09</v>
          </cell>
          <cell r="E1596" t="str">
            <v>522 00 00</v>
          </cell>
          <cell r="F1596" t="str">
            <v>455</v>
          </cell>
        </row>
        <row r="1597">
          <cell r="A1597" t="str">
            <v>Увеличение стоимости основных средств</v>
          </cell>
          <cell r="B1597" t="str">
            <v>901</v>
          </cell>
          <cell r="C1597" t="str">
            <v>09</v>
          </cell>
          <cell r="D1597" t="str">
            <v>09</v>
          </cell>
          <cell r="E1597" t="str">
            <v>522 00 00</v>
          </cell>
          <cell r="F1597" t="str">
            <v>455</v>
          </cell>
        </row>
        <row r="1598">
          <cell r="A1598" t="str">
            <v>Региональные целевые программы Развитие  села</v>
          </cell>
          <cell r="B1598" t="str">
            <v>904</v>
          </cell>
          <cell r="C1598" t="str">
            <v>09</v>
          </cell>
          <cell r="D1598" t="str">
            <v>09</v>
          </cell>
          <cell r="E1598" t="str">
            <v>522 00 00</v>
          </cell>
          <cell r="F1598" t="str">
            <v>000</v>
          </cell>
        </row>
        <row r="1599">
          <cell r="A1599" t="str">
            <v>Мероприятия в области здравоохранения, спорта и физической культуры </v>
          </cell>
          <cell r="B1599" t="str">
            <v>904</v>
          </cell>
          <cell r="C1599" t="str">
            <v>09</v>
          </cell>
          <cell r="D1599" t="str">
            <v>09</v>
          </cell>
          <cell r="E1599" t="str">
            <v>522 18 00</v>
          </cell>
          <cell r="F1599" t="str">
            <v>000</v>
          </cell>
        </row>
        <row r="1600">
          <cell r="A1600" t="str">
            <v>Услуги по содержанию иммущества</v>
          </cell>
          <cell r="B1600" t="str">
            <v>904</v>
          </cell>
          <cell r="C1600" t="str">
            <v>09</v>
          </cell>
          <cell r="D1600" t="str">
            <v>09</v>
          </cell>
          <cell r="E1600" t="str">
            <v>522 18 00</v>
          </cell>
          <cell r="F1600" t="str">
            <v>079</v>
          </cell>
        </row>
        <row r="1601">
          <cell r="A1601" t="str">
            <v>Увеличение стоимости основных средств</v>
          </cell>
          <cell r="B1601" t="str">
            <v>904</v>
          </cell>
          <cell r="C1601" t="str">
            <v>09</v>
          </cell>
          <cell r="D1601" t="str">
            <v>09</v>
          </cell>
          <cell r="E1601" t="str">
            <v>522 18 00</v>
          </cell>
          <cell r="F1601" t="str">
            <v>079</v>
          </cell>
        </row>
        <row r="1602">
          <cell r="A1602" t="str">
            <v>Увеличение стоимости основных средств</v>
          </cell>
          <cell r="B1602" t="str">
            <v>904</v>
          </cell>
          <cell r="C1602" t="str">
            <v>09</v>
          </cell>
          <cell r="D1602" t="str">
            <v>09</v>
          </cell>
          <cell r="E1602" t="str">
            <v>522 18 00</v>
          </cell>
          <cell r="F1602" t="str">
            <v>079</v>
          </cell>
        </row>
        <row r="1603">
          <cell r="A1603" t="str">
            <v>Увеличение стоимости материальных запасов</v>
          </cell>
          <cell r="B1603" t="str">
            <v>904</v>
          </cell>
          <cell r="C1603" t="str">
            <v>09</v>
          </cell>
          <cell r="D1603" t="str">
            <v>09</v>
          </cell>
          <cell r="E1603" t="str">
            <v>522 18 00</v>
          </cell>
          <cell r="F1603" t="str">
            <v>079</v>
          </cell>
        </row>
        <row r="1604">
          <cell r="A1604" t="str">
            <v>Субсидии некоммерческим организациям</v>
          </cell>
          <cell r="B1604" t="str">
            <v>904</v>
          </cell>
          <cell r="C1604" t="str">
            <v>09</v>
          </cell>
          <cell r="D1604" t="str">
            <v>09</v>
          </cell>
          <cell r="E1604" t="str">
            <v>452 99 00</v>
          </cell>
          <cell r="F1604" t="str">
            <v>019</v>
          </cell>
        </row>
        <row r="1605">
          <cell r="A1605" t="str">
            <v>Учреждения, обеспечивающие предоставление услуг в сфере здравоохранения</v>
          </cell>
          <cell r="B1605" t="str">
            <v>904</v>
          </cell>
          <cell r="C1605" t="str">
            <v>09</v>
          </cell>
          <cell r="D1605" t="str">
            <v>09</v>
          </cell>
          <cell r="E1605" t="str">
            <v>469 00 00</v>
          </cell>
          <cell r="F1605" t="str">
            <v>000</v>
          </cell>
        </row>
        <row r="1606">
          <cell r="A1606" t="str">
            <v>Обеспечение деятельности подведомственных учреждений</v>
          </cell>
          <cell r="B1606" t="str">
            <v>904</v>
          </cell>
          <cell r="C1606" t="str">
            <v>09</v>
          </cell>
          <cell r="D1606" t="str">
            <v>09</v>
          </cell>
          <cell r="E1606" t="str">
            <v>469 99 00</v>
          </cell>
          <cell r="F1606" t="str">
            <v>000</v>
          </cell>
        </row>
        <row r="1607">
          <cell r="A1607" t="str">
            <v>Выполнение функций бюджетными учреждениями</v>
          </cell>
          <cell r="B1607" t="str">
            <v>904</v>
          </cell>
          <cell r="C1607" t="str">
            <v>09</v>
          </cell>
          <cell r="D1607" t="str">
            <v>09</v>
          </cell>
          <cell r="E1607" t="str">
            <v>469 99 00</v>
          </cell>
          <cell r="F1607" t="str">
            <v>001</v>
          </cell>
        </row>
        <row r="1608">
          <cell r="A1608" t="str">
            <v>Реализация региональных программ модернизации здравоохранения субъектов РФ и программ модернизации федеральных государственных учреждений</v>
          </cell>
          <cell r="B1608" t="str">
            <v>904</v>
          </cell>
          <cell r="C1608" t="str">
            <v>09</v>
          </cell>
          <cell r="D1608" t="str">
            <v>09</v>
          </cell>
          <cell r="E1608" t="str">
            <v>096 00 00</v>
          </cell>
          <cell r="F1608" t="str">
            <v>000</v>
          </cell>
        </row>
        <row r="1609">
          <cell r="A1609" t="str">
            <v>Реализация программ модернизации здравоохранения субъектов РФ в части укрепления материально-технической базы медицинских учреждений</v>
          </cell>
          <cell r="B1609" t="str">
            <v>904</v>
          </cell>
          <cell r="C1609" t="str">
            <v>09</v>
          </cell>
          <cell r="D1609" t="str">
            <v>09</v>
          </cell>
          <cell r="E1609" t="str">
            <v>096 01 00</v>
          </cell>
          <cell r="F1609" t="str">
            <v>000</v>
          </cell>
        </row>
        <row r="1610">
          <cell r="A1610" t="str">
            <v>Реализация программ модернизации здравоохранения субъектов РФ в части укрепления материально-технической базы медицинских учреждений за счет средств бюджета территориального фонда обязательного медицинского страхования граждан Иркутской области</v>
          </cell>
          <cell r="B1610" t="str">
            <v>904</v>
          </cell>
          <cell r="C1610" t="str">
            <v>09</v>
          </cell>
          <cell r="D1610" t="str">
            <v>09</v>
          </cell>
          <cell r="E1610" t="str">
            <v>096 01 01</v>
          </cell>
          <cell r="F1610" t="str">
            <v>000</v>
          </cell>
        </row>
        <row r="1611">
          <cell r="A1611" t="str">
            <v>Выполнение функций бюджетными учреждениями</v>
          </cell>
          <cell r="B1611" t="str">
            <v>904</v>
          </cell>
          <cell r="C1611" t="str">
            <v>09</v>
          </cell>
          <cell r="D1611" t="str">
            <v>09</v>
          </cell>
          <cell r="E1611" t="str">
            <v>096 01 01</v>
          </cell>
          <cell r="F1611" t="str">
            <v>001</v>
          </cell>
        </row>
        <row r="1614">
          <cell r="A1614" t="str">
            <v>Учреждения, обеспечивающие предоставление услуг в сфере здравоохранения</v>
          </cell>
          <cell r="B1614" t="str">
            <v>904</v>
          </cell>
          <cell r="C1614" t="str">
            <v>09</v>
          </cell>
          <cell r="D1614" t="str">
            <v>09</v>
          </cell>
          <cell r="E1614" t="str">
            <v>469 00 00</v>
          </cell>
          <cell r="F1614" t="str">
            <v>000</v>
          </cell>
        </row>
        <row r="1615">
          <cell r="A1615" t="str">
            <v>Обеспечение деятельности подведомственных учреждений</v>
          </cell>
          <cell r="B1615" t="str">
            <v>904</v>
          </cell>
          <cell r="C1615" t="str">
            <v>09</v>
          </cell>
          <cell r="D1615" t="str">
            <v>09</v>
          </cell>
          <cell r="E1615" t="str">
            <v>469 99 00</v>
          </cell>
          <cell r="F1615" t="str">
            <v>000</v>
          </cell>
        </row>
        <row r="1616">
          <cell r="A1616" t="str">
            <v>Выполнение функций бюджетными учреждениями</v>
          </cell>
          <cell r="B1616" t="str">
            <v>904</v>
          </cell>
          <cell r="C1616" t="str">
            <v>09</v>
          </cell>
          <cell r="D1616" t="str">
            <v>09</v>
          </cell>
          <cell r="E1616" t="str">
            <v>469 99 00</v>
          </cell>
          <cell r="F1616" t="str">
            <v>001</v>
          </cell>
        </row>
        <row r="1617">
          <cell r="A1617" t="str">
            <v>Расходы</v>
          </cell>
          <cell r="B1617" t="str">
            <v>904</v>
          </cell>
          <cell r="C1617" t="str">
            <v>09</v>
          </cell>
          <cell r="D1617" t="str">
            <v>09</v>
          </cell>
          <cell r="E1617" t="str">
            <v>469 99 00</v>
          </cell>
          <cell r="F1617" t="str">
            <v>001</v>
          </cell>
        </row>
        <row r="1618">
          <cell r="A1618" t="str">
            <v>Приобретение услуг</v>
          </cell>
          <cell r="B1618" t="str">
            <v>904</v>
          </cell>
          <cell r="C1618" t="str">
            <v>09</v>
          </cell>
          <cell r="D1618" t="str">
            <v>09</v>
          </cell>
          <cell r="E1618" t="str">
            <v>469 99 00</v>
          </cell>
          <cell r="F1618" t="str">
            <v>001</v>
          </cell>
        </row>
        <row r="1619">
          <cell r="A1619" t="str">
            <v>Прочие услуги</v>
          </cell>
          <cell r="B1619" t="str">
            <v>904</v>
          </cell>
          <cell r="C1619" t="str">
            <v>09</v>
          </cell>
          <cell r="D1619" t="str">
            <v>09</v>
          </cell>
          <cell r="E1619" t="str">
            <v>469 99 00</v>
          </cell>
          <cell r="F1619" t="str">
            <v>001</v>
          </cell>
        </row>
        <row r="1620">
          <cell r="A1620" t="str">
            <v>Реализация программ модернизации здравоохранения субъектов РФ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за счет средств областного бюджета</v>
          </cell>
          <cell r="B1620" t="str">
            <v>904</v>
          </cell>
          <cell r="C1620" t="str">
            <v>09</v>
          </cell>
          <cell r="D1620" t="str">
            <v>09</v>
          </cell>
          <cell r="E1620" t="str">
            <v>096 01 02</v>
          </cell>
          <cell r="F1620" t="str">
            <v>000</v>
          </cell>
        </row>
        <row r="1621">
          <cell r="A1621" t="str">
            <v>Выполнение функций бюджетными учреждениями</v>
          </cell>
          <cell r="B1621" t="str">
            <v>904</v>
          </cell>
          <cell r="C1621" t="str">
            <v>09</v>
          </cell>
          <cell r="D1621" t="str">
            <v>09</v>
          </cell>
          <cell r="E1621" t="str">
            <v>096 01 02</v>
          </cell>
          <cell r="F1621" t="str">
            <v>001</v>
          </cell>
        </row>
        <row r="1624">
          <cell r="A1624" t="str">
            <v>Целевые программы муниципальных образований </v>
          </cell>
          <cell r="B1624" t="str">
            <v>904</v>
          </cell>
          <cell r="C1624" t="str">
            <v>09</v>
          </cell>
          <cell r="D1624" t="str">
            <v>09</v>
          </cell>
          <cell r="E1624" t="str">
            <v>795 00 00</v>
          </cell>
          <cell r="F1624" t="str">
            <v>000</v>
          </cell>
        </row>
        <row r="1625">
          <cell r="A1625" t="str">
            <v>Выполнение функций органами местного самоуправления</v>
          </cell>
          <cell r="B1625" t="str">
            <v>904</v>
          </cell>
          <cell r="C1625" t="str">
            <v>09</v>
          </cell>
          <cell r="D1625" t="str">
            <v>09</v>
          </cell>
          <cell r="E1625" t="str">
            <v>795 00 00</v>
          </cell>
          <cell r="F1625" t="str">
            <v>500</v>
          </cell>
        </row>
        <row r="1626">
          <cell r="A1626" t="str">
            <v>АНТИ-ВИЧ\СПИД на2012- 2015 г</v>
          </cell>
          <cell r="B1626" t="str">
            <v>904</v>
          </cell>
          <cell r="C1626" t="str">
            <v>09</v>
          </cell>
          <cell r="D1626" t="str">
            <v>09</v>
          </cell>
          <cell r="E1626" t="str">
            <v>795 11 00</v>
          </cell>
          <cell r="F1626" t="str">
            <v>000</v>
          </cell>
        </row>
        <row r="1627">
          <cell r="A1627" t="str">
            <v>Выполнение функций органами местного самоуправления</v>
          </cell>
          <cell r="B1627" t="str">
            <v>904</v>
          </cell>
          <cell r="C1627" t="str">
            <v>09</v>
          </cell>
          <cell r="D1627" t="str">
            <v>09</v>
          </cell>
          <cell r="E1627" t="str">
            <v>795 11 00</v>
          </cell>
          <cell r="F1627" t="str">
            <v>500</v>
          </cell>
        </row>
        <row r="1628">
          <cell r="A1628" t="str">
            <v>"Безопасное материнство на 2009-2013 гг"</v>
          </cell>
          <cell r="B1628" t="str">
            <v>904</v>
          </cell>
          <cell r="C1628" t="str">
            <v>09</v>
          </cell>
          <cell r="D1628" t="str">
            <v>09</v>
          </cell>
          <cell r="E1628" t="str">
            <v>795 13 00</v>
          </cell>
          <cell r="F1628" t="str">
            <v>000</v>
          </cell>
        </row>
        <row r="1629">
          <cell r="A1629" t="str">
            <v>Выполнение функций органами местного самоуправления</v>
          </cell>
          <cell r="B1629" t="str">
            <v>904</v>
          </cell>
          <cell r="C1629" t="str">
            <v>09</v>
          </cell>
          <cell r="D1629" t="str">
            <v>09</v>
          </cell>
          <cell r="E1629" t="str">
            <v>795 13 00</v>
          </cell>
          <cell r="F1629" t="str">
            <v>500</v>
          </cell>
        </row>
        <row r="1630">
          <cell r="A1630" t="str">
            <v>"Предупреждение и борьба  с туберкулезом , совершенствование стратегий и тактики организации противотуберкулезных мероприятий в Усольском районе в 2011-2012 гг"</v>
          </cell>
          <cell r="B1630" t="str">
            <v>904</v>
          </cell>
          <cell r="C1630" t="str">
            <v>09</v>
          </cell>
          <cell r="D1630" t="str">
            <v>09</v>
          </cell>
          <cell r="E1630" t="str">
            <v>795 14 00</v>
          </cell>
          <cell r="F1630" t="str">
            <v>000</v>
          </cell>
        </row>
        <row r="1631">
          <cell r="A1631" t="str">
            <v>Выполнение функций органами местного самоуправления</v>
          </cell>
          <cell r="B1631" t="str">
            <v>904</v>
          </cell>
          <cell r="C1631" t="str">
            <v>09</v>
          </cell>
          <cell r="D1631" t="str">
            <v>09</v>
          </cell>
          <cell r="E1631" t="str">
            <v>795 14 00</v>
          </cell>
          <cell r="F1631" t="str">
            <v>500</v>
          </cell>
        </row>
        <row r="1632">
          <cell r="A1632" t="str">
            <v>"Профилактика и  лечение артериальной гипертонии  на 2010-2012 гг"</v>
          </cell>
          <cell r="B1632" t="str">
            <v>904</v>
          </cell>
          <cell r="C1632" t="str">
            <v>09</v>
          </cell>
          <cell r="D1632" t="str">
            <v>09</v>
          </cell>
          <cell r="E1632" t="str">
            <v>795 15 00</v>
          </cell>
          <cell r="F1632" t="str">
            <v>000</v>
          </cell>
        </row>
        <row r="1633">
          <cell r="A1633" t="str">
            <v>Выполнение функций органами местного самоуправления</v>
          </cell>
          <cell r="B1633" t="str">
            <v>904</v>
          </cell>
          <cell r="C1633" t="str">
            <v>09</v>
          </cell>
          <cell r="D1633" t="str">
            <v>09</v>
          </cell>
          <cell r="E1633" t="str">
            <v>795 15 00</v>
          </cell>
          <cell r="F1633" t="str">
            <v>500</v>
          </cell>
        </row>
        <row r="1634">
          <cell r="A1634" t="str">
            <v>"Обеспечение санитарно-эпидимиологического благополучия  населения УРМО  на 2011-2013 г"</v>
          </cell>
          <cell r="B1634" t="str">
            <v>904</v>
          </cell>
          <cell r="C1634" t="str">
            <v>09</v>
          </cell>
          <cell r="D1634" t="str">
            <v>09</v>
          </cell>
          <cell r="E1634" t="str">
            <v>795 16 00</v>
          </cell>
          <cell r="F1634" t="str">
            <v>000</v>
          </cell>
        </row>
        <row r="1635">
          <cell r="A1635" t="str">
            <v>Выполнение функций органами местного самоуправления</v>
          </cell>
          <cell r="B1635" t="str">
            <v>904</v>
          </cell>
          <cell r="C1635" t="str">
            <v>09</v>
          </cell>
          <cell r="D1635" t="str">
            <v>09</v>
          </cell>
          <cell r="E1635" t="str">
            <v>795 16 00</v>
          </cell>
          <cell r="F1635" t="str">
            <v>500</v>
          </cell>
        </row>
        <row r="1636">
          <cell r="A1636" t="str">
            <v>Демографическое развитие УРМО на 2009-2012 гг</v>
          </cell>
          <cell r="B1636" t="str">
            <v>904</v>
          </cell>
          <cell r="C1636" t="str">
            <v>09</v>
          </cell>
          <cell r="D1636" t="str">
            <v>09</v>
          </cell>
          <cell r="E1636" t="str">
            <v>795 31 00</v>
          </cell>
          <cell r="F1636" t="str">
            <v>000</v>
          </cell>
        </row>
        <row r="1637">
          <cell r="A1637" t="str">
            <v>Выполнение функций органами местного самоуправления</v>
          </cell>
          <cell r="B1637" t="str">
            <v>904</v>
          </cell>
          <cell r="C1637" t="str">
            <v>09</v>
          </cell>
          <cell r="D1637" t="str">
            <v>09</v>
          </cell>
          <cell r="E1637" t="str">
            <v>795 31 00</v>
          </cell>
          <cell r="F1637" t="str">
            <v>500</v>
          </cell>
        </row>
        <row r="1638">
          <cell r="A1638" t="str">
            <v>Услуги по содержанию иммущества</v>
          </cell>
          <cell r="B1638" t="str">
            <v>904</v>
          </cell>
          <cell r="C1638" t="str">
            <v>09</v>
          </cell>
          <cell r="D1638" t="str">
            <v>09</v>
          </cell>
          <cell r="E1638" t="str">
            <v>795 00 00</v>
          </cell>
          <cell r="F1638" t="str">
            <v>500</v>
          </cell>
        </row>
        <row r="1639">
          <cell r="A1639" t="str">
            <v>Прочие услуги</v>
          </cell>
          <cell r="B1639" t="str">
            <v>904</v>
          </cell>
          <cell r="C1639" t="str">
            <v>09</v>
          </cell>
          <cell r="D1639" t="str">
            <v>09</v>
          </cell>
          <cell r="E1639" t="str">
            <v>795 00 00</v>
          </cell>
          <cell r="F1639" t="str">
            <v>500</v>
          </cell>
        </row>
        <row r="1640">
          <cell r="A1640" t="str">
            <v>Услуги по содержанию иммущества</v>
          </cell>
          <cell r="B1640" t="str">
            <v>904</v>
          </cell>
          <cell r="C1640" t="str">
            <v>09</v>
          </cell>
          <cell r="D1640" t="str">
            <v>09</v>
          </cell>
          <cell r="E1640" t="str">
            <v>795 16 00</v>
          </cell>
          <cell r="F1640" t="str">
            <v>500</v>
          </cell>
        </row>
        <row r="1641">
          <cell r="A1641" t="str">
            <v>Прочие услуги</v>
          </cell>
          <cell r="B1641" t="str">
            <v>904</v>
          </cell>
          <cell r="C1641" t="str">
            <v>09</v>
          </cell>
          <cell r="D1641" t="str">
            <v>09</v>
          </cell>
          <cell r="E1641" t="str">
            <v>795 11 00</v>
          </cell>
          <cell r="F1641" t="str">
            <v>500</v>
          </cell>
        </row>
        <row r="1642">
          <cell r="A1642" t="str">
            <v>Прочие услуги</v>
          </cell>
          <cell r="B1642" t="str">
            <v>904</v>
          </cell>
          <cell r="C1642" t="str">
            <v>09</v>
          </cell>
          <cell r="D1642" t="str">
            <v>09</v>
          </cell>
          <cell r="E1642" t="str">
            <v>795 12 00</v>
          </cell>
          <cell r="F1642" t="str">
            <v>500</v>
          </cell>
        </row>
        <row r="1643">
          <cell r="A1643" t="str">
            <v>Прочие услуги</v>
          </cell>
          <cell r="B1643" t="str">
            <v>904</v>
          </cell>
          <cell r="C1643" t="str">
            <v>09</v>
          </cell>
          <cell r="D1643" t="str">
            <v>09</v>
          </cell>
          <cell r="E1643" t="str">
            <v>795 13 00</v>
          </cell>
          <cell r="F1643" t="str">
            <v>500</v>
          </cell>
        </row>
        <row r="1644">
          <cell r="A1644" t="str">
            <v>Прочие услуги</v>
          </cell>
          <cell r="B1644" t="str">
            <v>904</v>
          </cell>
          <cell r="C1644" t="str">
            <v>09</v>
          </cell>
          <cell r="D1644" t="str">
            <v>09</v>
          </cell>
          <cell r="E1644" t="str">
            <v>795 14 00</v>
          </cell>
          <cell r="F1644" t="str">
            <v>500</v>
          </cell>
        </row>
        <row r="1645">
          <cell r="A1645" t="str">
            <v>Прочие услуги</v>
          </cell>
          <cell r="B1645" t="str">
            <v>904</v>
          </cell>
          <cell r="C1645" t="str">
            <v>09</v>
          </cell>
          <cell r="D1645" t="str">
            <v>09</v>
          </cell>
          <cell r="E1645" t="str">
            <v>795 15 00</v>
          </cell>
          <cell r="F1645" t="str">
            <v>500</v>
          </cell>
        </row>
        <row r="1646">
          <cell r="A1646" t="str">
            <v>Прочие услуги</v>
          </cell>
          <cell r="B1646" t="str">
            <v>904</v>
          </cell>
          <cell r="C1646" t="str">
            <v>09</v>
          </cell>
          <cell r="D1646" t="str">
            <v>09</v>
          </cell>
          <cell r="E1646" t="str">
            <v>795 31 00</v>
          </cell>
          <cell r="F1646" t="str">
            <v>500</v>
          </cell>
        </row>
        <row r="1647">
          <cell r="A1647" t="str">
            <v>Поступление нефинансовых активов</v>
          </cell>
          <cell r="B1647" t="str">
            <v>904</v>
          </cell>
          <cell r="C1647" t="str">
            <v>09</v>
          </cell>
          <cell r="D1647" t="str">
            <v>09</v>
          </cell>
          <cell r="E1647" t="str">
            <v>795 31 00</v>
          </cell>
          <cell r="F1647" t="str">
            <v>500</v>
          </cell>
        </row>
        <row r="1648">
          <cell r="A1648" t="str">
            <v>Увеличение стоимости материальных запасов</v>
          </cell>
          <cell r="B1648" t="str">
            <v>904</v>
          </cell>
          <cell r="C1648" t="str">
            <v>09</v>
          </cell>
          <cell r="D1648" t="str">
            <v>09</v>
          </cell>
          <cell r="E1648" t="str">
            <v>795 00 00</v>
          </cell>
          <cell r="F1648" t="str">
            <v>500</v>
          </cell>
        </row>
        <row r="1649">
          <cell r="A1649" t="str">
            <v>Увеличение стоимости основных средств</v>
          </cell>
          <cell r="B1649" t="str">
            <v>904</v>
          </cell>
          <cell r="C1649" t="str">
            <v>09</v>
          </cell>
          <cell r="D1649" t="str">
            <v>09</v>
          </cell>
          <cell r="E1649" t="str">
            <v>795 12 00</v>
          </cell>
          <cell r="F1649" t="str">
            <v>500</v>
          </cell>
        </row>
        <row r="1650">
          <cell r="A1650" t="str">
            <v>Увеличение стоимости основных средств</v>
          </cell>
          <cell r="B1650" t="str">
            <v>904</v>
          </cell>
          <cell r="C1650" t="str">
            <v>09</v>
          </cell>
          <cell r="D1650" t="str">
            <v>09</v>
          </cell>
          <cell r="E1650" t="str">
            <v>795 13 00</v>
          </cell>
          <cell r="F1650" t="str">
            <v>500</v>
          </cell>
        </row>
        <row r="1651">
          <cell r="A1651" t="str">
            <v>Увеличение стоимости основных средств</v>
          </cell>
          <cell r="B1651" t="str">
            <v>904</v>
          </cell>
          <cell r="C1651" t="str">
            <v>09</v>
          </cell>
          <cell r="D1651" t="str">
            <v>09</v>
          </cell>
          <cell r="E1651" t="str">
            <v>795 16 00</v>
          </cell>
          <cell r="F1651" t="str">
            <v>500</v>
          </cell>
        </row>
        <row r="1652">
          <cell r="A1652" t="str">
            <v>Увеличение стоимости основных средств</v>
          </cell>
          <cell r="B1652" t="str">
            <v>904</v>
          </cell>
          <cell r="C1652" t="str">
            <v>09</v>
          </cell>
          <cell r="D1652" t="str">
            <v>09</v>
          </cell>
          <cell r="E1652" t="str">
            <v>795 15 00</v>
          </cell>
          <cell r="F1652" t="str">
            <v>500</v>
          </cell>
        </row>
        <row r="1653">
          <cell r="A1653" t="str">
            <v>Увеличение стоимости основных средств</v>
          </cell>
          <cell r="B1653" t="str">
            <v>904</v>
          </cell>
          <cell r="C1653" t="str">
            <v>09</v>
          </cell>
          <cell r="D1653" t="str">
            <v>09</v>
          </cell>
          <cell r="E1653" t="str">
            <v>795 11 00</v>
          </cell>
          <cell r="F1653" t="str">
            <v>500</v>
          </cell>
        </row>
        <row r="1654">
          <cell r="A1654" t="str">
            <v>Увеличение стоимости основных средств</v>
          </cell>
          <cell r="B1654" t="str">
            <v>904</v>
          </cell>
          <cell r="C1654" t="str">
            <v>09</v>
          </cell>
          <cell r="D1654" t="str">
            <v>09</v>
          </cell>
          <cell r="E1654" t="str">
            <v>795 14 00</v>
          </cell>
          <cell r="F1654" t="str">
            <v>500</v>
          </cell>
        </row>
        <row r="1655">
          <cell r="A1655" t="str">
            <v>Увеличение стоимости материальных запасов</v>
          </cell>
          <cell r="B1655" t="str">
            <v>904</v>
          </cell>
          <cell r="C1655" t="str">
            <v>09</v>
          </cell>
          <cell r="D1655" t="str">
            <v>09</v>
          </cell>
          <cell r="E1655" t="str">
            <v>795 31 00</v>
          </cell>
          <cell r="F1655" t="str">
            <v>500</v>
          </cell>
        </row>
        <row r="1656">
          <cell r="A1656" t="str">
            <v>Увеличение стоимости материальных запасов</v>
          </cell>
          <cell r="B1656" t="str">
            <v>904</v>
          </cell>
          <cell r="C1656" t="str">
            <v>09</v>
          </cell>
          <cell r="D1656" t="str">
            <v>09</v>
          </cell>
          <cell r="E1656" t="str">
            <v>795 11 00</v>
          </cell>
          <cell r="F1656" t="str">
            <v>500</v>
          </cell>
        </row>
        <row r="1657">
          <cell r="A1657" t="str">
            <v>Увеличение стоимости материальных запасов</v>
          </cell>
          <cell r="B1657" t="str">
            <v>904</v>
          </cell>
          <cell r="C1657" t="str">
            <v>09</v>
          </cell>
          <cell r="D1657" t="str">
            <v>09</v>
          </cell>
          <cell r="E1657" t="str">
            <v>795 13 00</v>
          </cell>
          <cell r="F1657" t="str">
            <v>500</v>
          </cell>
        </row>
        <row r="1658">
          <cell r="A1658" t="str">
            <v>Увеличение стоимости материальных запасов</v>
          </cell>
          <cell r="B1658" t="str">
            <v>904</v>
          </cell>
          <cell r="C1658" t="str">
            <v>09</v>
          </cell>
          <cell r="D1658" t="str">
            <v>09</v>
          </cell>
          <cell r="E1658" t="str">
            <v>795 14 00</v>
          </cell>
          <cell r="F1658" t="str">
            <v>500</v>
          </cell>
        </row>
        <row r="1659">
          <cell r="A1659" t="str">
            <v>Увеличение стоимости материальных запасов</v>
          </cell>
          <cell r="B1659" t="str">
            <v>904</v>
          </cell>
          <cell r="C1659" t="str">
            <v>09</v>
          </cell>
          <cell r="D1659" t="str">
            <v>09</v>
          </cell>
          <cell r="E1659" t="str">
            <v>795 15 00</v>
          </cell>
          <cell r="F1659" t="str">
            <v>500</v>
          </cell>
        </row>
        <row r="1660">
          <cell r="A1660" t="str">
            <v>Здравоохранение и спорт</v>
          </cell>
          <cell r="C1660" t="str">
            <v>09</v>
          </cell>
          <cell r="D1660" t="str">
            <v>00</v>
          </cell>
          <cell r="E1660" t="str">
            <v>000 00 00</v>
          </cell>
          <cell r="F1660" t="str">
            <v>000</v>
          </cell>
        </row>
        <row r="1661">
          <cell r="A1661" t="str">
            <v>Расходы</v>
          </cell>
          <cell r="C1661" t="str">
            <v>09</v>
          </cell>
          <cell r="D1661" t="str">
            <v>00</v>
          </cell>
          <cell r="E1661" t="str">
            <v>000 00 00</v>
          </cell>
          <cell r="F1661" t="str">
            <v>000</v>
          </cell>
        </row>
        <row r="1662">
          <cell r="A1662" t="str">
            <v>Оплата труда и начисления на оплату труда</v>
          </cell>
          <cell r="C1662" t="str">
            <v>09</v>
          </cell>
          <cell r="D1662" t="str">
            <v>00</v>
          </cell>
          <cell r="E1662" t="str">
            <v>000 00 00</v>
          </cell>
          <cell r="F1662" t="str">
            <v>000</v>
          </cell>
        </row>
        <row r="1663">
          <cell r="A1663" t="str">
            <v>Заработная плата</v>
          </cell>
          <cell r="C1663" t="str">
            <v>09</v>
          </cell>
          <cell r="D1663" t="str">
            <v>00</v>
          </cell>
          <cell r="E1663" t="str">
            <v>000 00 00</v>
          </cell>
          <cell r="F1663" t="str">
            <v>000</v>
          </cell>
        </row>
        <row r="1664">
          <cell r="A1664" t="str">
            <v>Прочие выплаты</v>
          </cell>
          <cell r="C1664" t="str">
            <v>09</v>
          </cell>
          <cell r="D1664" t="str">
            <v>00</v>
          </cell>
          <cell r="E1664" t="str">
            <v>000 00 00</v>
          </cell>
          <cell r="F1664" t="str">
            <v>000</v>
          </cell>
        </row>
        <row r="1665">
          <cell r="A1665" t="str">
            <v>Начисление на оплату труда</v>
          </cell>
          <cell r="C1665" t="str">
            <v>09</v>
          </cell>
          <cell r="D1665" t="str">
            <v>00</v>
          </cell>
          <cell r="E1665" t="str">
            <v>000 00 00</v>
          </cell>
          <cell r="F1665" t="str">
            <v>000</v>
          </cell>
        </row>
        <row r="1666">
          <cell r="A1666" t="str">
            <v>Приобретение услуг</v>
          </cell>
          <cell r="C1666" t="str">
            <v>09</v>
          </cell>
          <cell r="D1666" t="str">
            <v>00</v>
          </cell>
          <cell r="E1666" t="str">
            <v>000 00 00</v>
          </cell>
          <cell r="F1666" t="str">
            <v>000</v>
          </cell>
        </row>
        <row r="1667">
          <cell r="A1667" t="str">
            <v>Услуги связи </v>
          </cell>
          <cell r="C1667" t="str">
            <v>09</v>
          </cell>
          <cell r="D1667" t="str">
            <v>00</v>
          </cell>
          <cell r="E1667" t="str">
            <v>000 00 00</v>
          </cell>
          <cell r="F1667" t="str">
            <v>000</v>
          </cell>
        </row>
        <row r="1668">
          <cell r="A1668" t="str">
            <v>Транспортные услуги</v>
          </cell>
          <cell r="C1668" t="str">
            <v>09</v>
          </cell>
          <cell r="D1668" t="str">
            <v>00</v>
          </cell>
          <cell r="E1668" t="str">
            <v>000 00 00</v>
          </cell>
          <cell r="F1668" t="str">
            <v>000</v>
          </cell>
        </row>
        <row r="1669">
          <cell r="A1669" t="str">
            <v>Коммунальные услуги</v>
          </cell>
          <cell r="C1669" t="str">
            <v>09</v>
          </cell>
          <cell r="D1669" t="str">
            <v>00</v>
          </cell>
          <cell r="E1669" t="str">
            <v>000 00 00</v>
          </cell>
          <cell r="F1669" t="str">
            <v>000</v>
          </cell>
        </row>
        <row r="1670">
          <cell r="A1670" t="str">
            <v>Арендная плата за пользование иммуществом </v>
          </cell>
          <cell r="C1670" t="str">
            <v>09</v>
          </cell>
          <cell r="D1670" t="str">
            <v>00</v>
          </cell>
          <cell r="E1670" t="str">
            <v>000 00 00</v>
          </cell>
          <cell r="F1670" t="str">
            <v>000</v>
          </cell>
        </row>
        <row r="1671">
          <cell r="A1671" t="str">
            <v>Услуги по содержанию иммущества</v>
          </cell>
          <cell r="C1671" t="str">
            <v>09</v>
          </cell>
          <cell r="D1671" t="str">
            <v>00</v>
          </cell>
          <cell r="E1671" t="str">
            <v>000 00 00</v>
          </cell>
          <cell r="F1671" t="str">
            <v>000</v>
          </cell>
        </row>
        <row r="1672">
          <cell r="A1672" t="str">
            <v>Прочие услуги</v>
          </cell>
          <cell r="C1672" t="str">
            <v>09</v>
          </cell>
          <cell r="D1672" t="str">
            <v>00</v>
          </cell>
          <cell r="E1672" t="str">
            <v>000 00 00</v>
          </cell>
          <cell r="F1672" t="str">
            <v>000</v>
          </cell>
        </row>
        <row r="1673">
          <cell r="A1673" t="str">
            <v>Прочие расходы</v>
          </cell>
          <cell r="C1673" t="str">
            <v>09</v>
          </cell>
          <cell r="D1673" t="str">
            <v>00</v>
          </cell>
          <cell r="E1673" t="str">
            <v>000 00 00</v>
          </cell>
          <cell r="F1673" t="str">
            <v>000</v>
          </cell>
        </row>
        <row r="1674">
          <cell r="A1674" t="str">
            <v>Поступление нефинансовых активов</v>
          </cell>
          <cell r="C1674" t="str">
            <v>09</v>
          </cell>
          <cell r="D1674" t="str">
            <v>00</v>
          </cell>
          <cell r="E1674" t="str">
            <v>000 00 00</v>
          </cell>
          <cell r="F1674" t="str">
            <v>000</v>
          </cell>
        </row>
        <row r="1675">
          <cell r="A1675" t="str">
            <v>Увеличение стоимости основных средств</v>
          </cell>
          <cell r="C1675" t="str">
            <v>09</v>
          </cell>
          <cell r="D1675" t="str">
            <v>00</v>
          </cell>
          <cell r="E1675" t="str">
            <v>000 00 00</v>
          </cell>
          <cell r="F1675" t="str">
            <v>000</v>
          </cell>
        </row>
        <row r="1676">
          <cell r="A1676" t="str">
            <v>Увеличение стоимости материальных запасов</v>
          </cell>
          <cell r="C1676" t="str">
            <v>09</v>
          </cell>
          <cell r="D1676" t="str">
            <v>00</v>
          </cell>
          <cell r="E1676" t="str">
            <v>000 00 00</v>
          </cell>
          <cell r="F1676" t="str">
            <v>000</v>
          </cell>
        </row>
        <row r="1677">
          <cell r="A1677" t="str">
            <v>Безвозмездные и безвозвратные перечисления организациям</v>
          </cell>
          <cell r="C1677" t="str">
            <v>09</v>
          </cell>
          <cell r="D1677" t="str">
            <v>00</v>
          </cell>
          <cell r="E1677" t="str">
            <v>000 00 00</v>
          </cell>
          <cell r="F1677" t="str">
            <v>000</v>
          </cell>
        </row>
        <row r="1678">
          <cell r="A1678" t="str">
            <v>Безвозмездные и безвозвратные перечисления государственным и муниципальным организациям</v>
          </cell>
          <cell r="C1678" t="str">
            <v>09</v>
          </cell>
          <cell r="D1678" t="str">
            <v>00</v>
          </cell>
          <cell r="E1678" t="str">
            <v>000 00 00</v>
          </cell>
          <cell r="F1678" t="str">
            <v>000 </v>
          </cell>
        </row>
        <row r="1679">
          <cell r="A1679" t="str">
            <v>Безвозмездные и безвозвратные перичисления бюджетам</v>
          </cell>
          <cell r="C1679" t="str">
            <v>09</v>
          </cell>
          <cell r="D1679" t="str">
            <v>00</v>
          </cell>
          <cell r="E1679" t="str">
            <v>000 00 00</v>
          </cell>
          <cell r="F1679" t="str">
            <v>000</v>
          </cell>
        </row>
        <row r="1680">
          <cell r="A1680" t="str">
            <v>Перечисления другим бюджетам бюджетной системы РФ</v>
          </cell>
          <cell r="C1680" t="str">
            <v>09</v>
          </cell>
          <cell r="D1680" t="str">
            <v>00</v>
          </cell>
          <cell r="E1680" t="str">
            <v>000 00 00</v>
          </cell>
          <cell r="F1680" t="str">
            <v>000</v>
          </cell>
        </row>
        <row r="1681">
          <cell r="A1681" t="str">
            <v>Пособие по социальной помощи населению </v>
          </cell>
          <cell r="C1681" t="str">
            <v>09</v>
          </cell>
          <cell r="D1681" t="str">
            <v>00</v>
          </cell>
          <cell r="E1681" t="str">
            <v>000 00 00</v>
          </cell>
          <cell r="F1681" t="str">
            <v>000</v>
          </cell>
        </row>
        <row r="1682">
          <cell r="A1682" t="str">
            <v>ИТОГО:</v>
          </cell>
          <cell r="C1682" t="str">
            <v>09</v>
          </cell>
          <cell r="D1682" t="str">
            <v>00</v>
          </cell>
          <cell r="E1682" t="str">
            <v>000 00 00</v>
          </cell>
          <cell r="F1682" t="str">
            <v>000</v>
          </cell>
        </row>
        <row r="1683">
          <cell r="A1683" t="str">
            <v>Социальная политика</v>
          </cell>
          <cell r="C1683" t="str">
            <v>10</v>
          </cell>
          <cell r="D1683" t="str">
            <v>00</v>
          </cell>
          <cell r="E1683" t="str">
            <v>000 00 00</v>
          </cell>
          <cell r="F1683" t="str">
            <v>000</v>
          </cell>
        </row>
        <row r="1684">
          <cell r="A1684" t="str">
            <v>Пенсионное обеспечение </v>
          </cell>
          <cell r="B1684" t="str">
            <v>902</v>
          </cell>
          <cell r="C1684" t="str">
            <v>10</v>
          </cell>
          <cell r="D1684" t="str">
            <v>01</v>
          </cell>
          <cell r="E1684" t="str">
            <v>000 00 00</v>
          </cell>
          <cell r="F1684" t="str">
            <v>000</v>
          </cell>
        </row>
        <row r="1685">
          <cell r="A1685" t="str">
            <v>Пенсии </v>
          </cell>
          <cell r="B1685" t="str">
            <v>902</v>
          </cell>
          <cell r="C1685" t="str">
            <v>10</v>
          </cell>
          <cell r="D1685" t="str">
            <v>01</v>
          </cell>
          <cell r="E1685" t="str">
            <v>490 00 00</v>
          </cell>
          <cell r="F1685" t="str">
            <v>000</v>
          </cell>
        </row>
        <row r="1686">
          <cell r="A1686" t="str">
            <v>Доплаты к пенсиям государственных служащих субъектов РФ и муниципальных служащих</v>
          </cell>
          <cell r="B1686" t="str">
            <v>902</v>
          </cell>
          <cell r="C1686" t="str">
            <v>10</v>
          </cell>
          <cell r="D1686" t="str">
            <v>01</v>
          </cell>
          <cell r="E1686" t="str">
            <v>491 01 00</v>
          </cell>
          <cell r="F1686" t="str">
            <v>000</v>
          </cell>
        </row>
        <row r="1687">
          <cell r="A1687" t="str">
            <v>Социальные выплаты</v>
          </cell>
          <cell r="B1687" t="str">
            <v>902</v>
          </cell>
          <cell r="C1687" t="str">
            <v>10</v>
          </cell>
          <cell r="D1687" t="str">
            <v>01</v>
          </cell>
          <cell r="E1687" t="str">
            <v>491 01 00</v>
          </cell>
          <cell r="F1687" t="str">
            <v>005</v>
          </cell>
        </row>
        <row r="1688">
          <cell r="A1688" t="str">
            <v>Расходы</v>
          </cell>
          <cell r="B1688" t="str">
            <v>902</v>
          </cell>
          <cell r="C1688" t="str">
            <v>10</v>
          </cell>
          <cell r="D1688" t="str">
            <v>01</v>
          </cell>
          <cell r="E1688" t="str">
            <v>491 01 00</v>
          </cell>
          <cell r="F1688" t="str">
            <v>005</v>
          </cell>
        </row>
        <row r="1689">
          <cell r="A1689" t="str">
            <v>Социальное обеспечение </v>
          </cell>
          <cell r="B1689" t="str">
            <v>902</v>
          </cell>
          <cell r="C1689" t="str">
            <v>10</v>
          </cell>
          <cell r="D1689" t="str">
            <v>01</v>
          </cell>
          <cell r="E1689" t="str">
            <v>491 01 00</v>
          </cell>
          <cell r="F1689" t="str">
            <v>005</v>
          </cell>
        </row>
        <row r="1690">
          <cell r="A1690" t="str">
            <v>Пенсии, пособия, выплачиваемые организациями сектора государственного управления</v>
          </cell>
          <cell r="B1690" t="str">
            <v>902</v>
          </cell>
          <cell r="C1690" t="str">
            <v>10</v>
          </cell>
          <cell r="D1690" t="str">
            <v>01</v>
          </cell>
          <cell r="E1690" t="str">
            <v>491 01 00</v>
          </cell>
          <cell r="F1690" t="str">
            <v>005</v>
          </cell>
        </row>
        <row r="1691">
          <cell r="A1691" t="str">
            <v>Пенсии, пособия, выплачиваемые организациями сектора государственного управления </v>
          </cell>
          <cell r="B1691" t="str">
            <v>902</v>
          </cell>
          <cell r="C1691" t="str">
            <v>10</v>
          </cell>
          <cell r="D1691" t="str">
            <v>02</v>
          </cell>
          <cell r="E1691" t="str">
            <v>000 00 00</v>
          </cell>
          <cell r="F1691" t="str">
            <v>000</v>
          </cell>
        </row>
        <row r="1692">
          <cell r="A1692" t="str">
            <v>Пенсии, пособия, выплачиваемые организациями сектора государственного управления </v>
          </cell>
          <cell r="B1692" t="str">
            <v>902</v>
          </cell>
          <cell r="C1692" t="str">
            <v>10</v>
          </cell>
          <cell r="D1692" t="str">
            <v>02</v>
          </cell>
          <cell r="E1692" t="str">
            <v>501 00 00</v>
          </cell>
          <cell r="F1692" t="str">
            <v>000</v>
          </cell>
        </row>
        <row r="1693">
          <cell r="A1693" t="str">
            <v>Пенсии, пособия, выплачиваемые организациями сектора государственного управления </v>
          </cell>
          <cell r="B1693" t="str">
            <v>902</v>
          </cell>
          <cell r="C1693" t="str">
            <v>10</v>
          </cell>
          <cell r="D1693" t="str">
            <v>02</v>
          </cell>
          <cell r="E1693" t="str">
            <v>501 00 00</v>
          </cell>
          <cell r="F1693" t="str">
            <v>327</v>
          </cell>
        </row>
        <row r="1694">
          <cell r="A1694" t="str">
            <v>Пенсии, пособия, выплачиваемые организациями сектора государственного управления </v>
          </cell>
          <cell r="B1694" t="str">
            <v>902</v>
          </cell>
          <cell r="C1694" t="str">
            <v>10</v>
          </cell>
          <cell r="D1694" t="str">
            <v>02</v>
          </cell>
          <cell r="E1694" t="str">
            <v>501 00 00</v>
          </cell>
          <cell r="F1694" t="str">
            <v>327</v>
          </cell>
        </row>
        <row r="1695">
          <cell r="A1695" t="str">
            <v>Пенсии, пособия, выплачиваемые организациями сектора государственного управления </v>
          </cell>
          <cell r="B1695" t="str">
            <v>902</v>
          </cell>
          <cell r="C1695" t="str">
            <v>10</v>
          </cell>
          <cell r="D1695" t="str">
            <v>02</v>
          </cell>
          <cell r="E1695" t="str">
            <v>501 00 00</v>
          </cell>
          <cell r="F1695" t="str">
            <v>327</v>
          </cell>
        </row>
        <row r="1696">
          <cell r="A1696" t="str">
            <v>Пенсии, пособия, выплачиваемые организациями сектора государственного управления </v>
          </cell>
          <cell r="B1696" t="str">
            <v>902</v>
          </cell>
          <cell r="C1696" t="str">
            <v>10</v>
          </cell>
          <cell r="D1696" t="str">
            <v>02</v>
          </cell>
          <cell r="E1696" t="str">
            <v>501 00 00</v>
          </cell>
          <cell r="F1696" t="str">
            <v>327</v>
          </cell>
        </row>
        <row r="1697">
          <cell r="A1697" t="str">
            <v>Пенсии, пособия, выплачиваемые организациями сектора государственного управления </v>
          </cell>
          <cell r="B1697" t="str">
            <v>902</v>
          </cell>
          <cell r="C1697" t="str">
            <v>10</v>
          </cell>
          <cell r="D1697" t="str">
            <v>02</v>
          </cell>
          <cell r="E1697" t="str">
            <v>501 00 00</v>
          </cell>
          <cell r="F1697" t="str">
            <v>327</v>
          </cell>
        </row>
        <row r="1698">
          <cell r="A1698" t="str">
            <v>Пенсии, пособия, выплачиваемые организациями сектора государственного управления </v>
          </cell>
          <cell r="B1698" t="str">
            <v>902</v>
          </cell>
          <cell r="C1698" t="str">
            <v>10</v>
          </cell>
          <cell r="D1698" t="str">
            <v>02</v>
          </cell>
          <cell r="E1698" t="str">
            <v>501 00 00</v>
          </cell>
          <cell r="F1698" t="str">
            <v>327</v>
          </cell>
        </row>
        <row r="1699">
          <cell r="A1699" t="str">
            <v>Пенсии, пособия, выплачиваемые организациями сектора государственного управления </v>
          </cell>
          <cell r="B1699" t="str">
            <v>902</v>
          </cell>
          <cell r="C1699" t="str">
            <v>10</v>
          </cell>
          <cell r="D1699" t="str">
            <v>02</v>
          </cell>
          <cell r="E1699" t="str">
            <v>501 00 00</v>
          </cell>
          <cell r="F1699" t="str">
            <v>327</v>
          </cell>
        </row>
        <row r="1700">
          <cell r="A1700" t="str">
            <v>Пенсии, пособия, выплачиваемые организациями сектора государственного управления </v>
          </cell>
          <cell r="B1700" t="str">
            <v>902</v>
          </cell>
          <cell r="C1700" t="str">
            <v>10</v>
          </cell>
          <cell r="D1700" t="str">
            <v>02</v>
          </cell>
          <cell r="E1700" t="str">
            <v>501 00 00</v>
          </cell>
          <cell r="F1700" t="str">
            <v>327</v>
          </cell>
        </row>
        <row r="1701">
          <cell r="A1701" t="str">
            <v>Пенсии, пособия, выплачиваемые организациями сектора государственного управления </v>
          </cell>
          <cell r="B1701" t="str">
            <v>902</v>
          </cell>
          <cell r="C1701" t="str">
            <v>10</v>
          </cell>
          <cell r="D1701" t="str">
            <v>02</v>
          </cell>
          <cell r="E1701" t="str">
            <v>501 00 00</v>
          </cell>
          <cell r="F1701" t="str">
            <v>327</v>
          </cell>
        </row>
        <row r="1702">
          <cell r="A1702" t="str">
            <v>Пенсии, пособия, выплачиваемые организациями сектора государственного управления </v>
          </cell>
          <cell r="B1702" t="str">
            <v>902</v>
          </cell>
          <cell r="C1702" t="str">
            <v>10</v>
          </cell>
          <cell r="D1702" t="str">
            <v>02</v>
          </cell>
          <cell r="E1702" t="str">
            <v>501 00 00</v>
          </cell>
          <cell r="F1702" t="str">
            <v>327</v>
          </cell>
        </row>
        <row r="1703">
          <cell r="A1703" t="str">
            <v>Пенсии, пособия, выплачиваемые организациями сектора государственного управления </v>
          </cell>
          <cell r="B1703" t="str">
            <v>902</v>
          </cell>
          <cell r="C1703" t="str">
            <v>10</v>
          </cell>
          <cell r="D1703" t="str">
            <v>02</v>
          </cell>
          <cell r="E1703" t="str">
            <v>501 00 00</v>
          </cell>
          <cell r="F1703" t="str">
            <v>327</v>
          </cell>
        </row>
        <row r="1704">
          <cell r="A1704" t="str">
            <v>Пенсии, пособия, выплачиваемые организациями сектора государственного управления </v>
          </cell>
          <cell r="B1704" t="str">
            <v>902</v>
          </cell>
          <cell r="C1704" t="str">
            <v>10</v>
          </cell>
          <cell r="D1704" t="str">
            <v>02</v>
          </cell>
          <cell r="E1704" t="str">
            <v>501 00 00</v>
          </cell>
          <cell r="F1704" t="str">
            <v>327</v>
          </cell>
        </row>
        <row r="1705">
          <cell r="A1705" t="str">
            <v>Пенсии, пособия, выплачиваемые организациями сектора государственного управления </v>
          </cell>
          <cell r="B1705" t="str">
            <v>902</v>
          </cell>
          <cell r="C1705" t="str">
            <v>10</v>
          </cell>
          <cell r="D1705" t="str">
            <v>02</v>
          </cell>
          <cell r="E1705" t="str">
            <v>501 00 00</v>
          </cell>
          <cell r="F1705" t="str">
            <v>327</v>
          </cell>
        </row>
        <row r="1706">
          <cell r="A1706" t="str">
            <v>Пенсии, пособия, выплачиваемые организациями сектора государственного управления </v>
          </cell>
          <cell r="B1706" t="str">
            <v>902</v>
          </cell>
          <cell r="C1706" t="str">
            <v>10</v>
          </cell>
          <cell r="D1706" t="str">
            <v>02</v>
          </cell>
          <cell r="E1706" t="str">
            <v>501 00 00</v>
          </cell>
          <cell r="F1706" t="str">
            <v>327</v>
          </cell>
        </row>
        <row r="1707">
          <cell r="A1707" t="str">
            <v>Пенсии, пособия, выплачиваемые организациями сектора государственного управления </v>
          </cell>
          <cell r="B1707" t="str">
            <v>902</v>
          </cell>
          <cell r="C1707" t="str">
            <v>10</v>
          </cell>
          <cell r="D1707" t="str">
            <v>02</v>
          </cell>
          <cell r="E1707" t="str">
            <v>501 00 00</v>
          </cell>
          <cell r="F1707" t="str">
            <v>327</v>
          </cell>
        </row>
        <row r="1708">
          <cell r="A1708" t="str">
            <v>Пенсии, пособия, выплачиваемые организациями сектора государственного управления </v>
          </cell>
          <cell r="B1708" t="str">
            <v>902</v>
          </cell>
          <cell r="C1708" t="str">
            <v>10</v>
          </cell>
          <cell r="D1708" t="str">
            <v>02</v>
          </cell>
          <cell r="E1708" t="str">
            <v>501 00 00</v>
          </cell>
          <cell r="F1708" t="str">
            <v>327</v>
          </cell>
        </row>
        <row r="1709">
          <cell r="B1709" t="str">
            <v>902</v>
          </cell>
        </row>
        <row r="1710">
          <cell r="B1710" t="str">
            <v>902</v>
          </cell>
        </row>
        <row r="1711">
          <cell r="A1711" t="str">
            <v>Учреждения социального обслуживания населения </v>
          </cell>
          <cell r="B1711" t="str">
            <v>902</v>
          </cell>
          <cell r="C1711" t="str">
            <v>10</v>
          </cell>
          <cell r="D1711" t="str">
            <v>02</v>
          </cell>
          <cell r="E1711" t="str">
            <v>506 00 00</v>
          </cell>
          <cell r="F1711" t="str">
            <v>000 </v>
          </cell>
        </row>
        <row r="1712">
          <cell r="A1712" t="str">
            <v>Обеспечение деятельности подведомственных учреждений</v>
          </cell>
          <cell r="B1712" t="str">
            <v>902</v>
          </cell>
          <cell r="C1712" t="str">
            <v>10</v>
          </cell>
          <cell r="D1712" t="str">
            <v>02</v>
          </cell>
          <cell r="E1712" t="str">
            <v>506 00 00</v>
          </cell>
          <cell r="F1712" t="str">
            <v>327</v>
          </cell>
        </row>
        <row r="1713">
          <cell r="A1713" t="str">
            <v>Оплата труда и начисления на оплату труда</v>
          </cell>
          <cell r="B1713" t="str">
            <v>902</v>
          </cell>
          <cell r="C1713" t="str">
            <v>10</v>
          </cell>
          <cell r="D1713" t="str">
            <v>02</v>
          </cell>
          <cell r="E1713" t="str">
            <v>506 00 00</v>
          </cell>
          <cell r="F1713" t="str">
            <v>327</v>
          </cell>
        </row>
        <row r="1714">
          <cell r="A1714" t="str">
            <v>Заработная плата</v>
          </cell>
          <cell r="B1714" t="str">
            <v>902</v>
          </cell>
          <cell r="C1714" t="str">
            <v>10</v>
          </cell>
          <cell r="D1714" t="str">
            <v>02</v>
          </cell>
          <cell r="E1714" t="str">
            <v>506 00 00</v>
          </cell>
          <cell r="F1714" t="str">
            <v>327</v>
          </cell>
        </row>
        <row r="1715">
          <cell r="A1715" t="str">
            <v>Прочие выплаты</v>
          </cell>
          <cell r="B1715" t="str">
            <v>902</v>
          </cell>
          <cell r="C1715" t="str">
            <v>10</v>
          </cell>
          <cell r="D1715" t="str">
            <v>02</v>
          </cell>
          <cell r="E1715" t="str">
            <v>506 00 00</v>
          </cell>
          <cell r="F1715" t="str">
            <v>327</v>
          </cell>
        </row>
        <row r="1716">
          <cell r="A1716" t="str">
            <v>Начисление на оплату труда</v>
          </cell>
          <cell r="B1716" t="str">
            <v>902</v>
          </cell>
          <cell r="C1716" t="str">
            <v>10</v>
          </cell>
          <cell r="D1716" t="str">
            <v>02</v>
          </cell>
          <cell r="E1716" t="str">
            <v>506 00 00</v>
          </cell>
          <cell r="F1716" t="str">
            <v>327</v>
          </cell>
        </row>
        <row r="1717">
          <cell r="A1717" t="str">
            <v>Приобретение услуг</v>
          </cell>
          <cell r="B1717" t="str">
            <v>902</v>
          </cell>
          <cell r="C1717" t="str">
            <v>10</v>
          </cell>
          <cell r="D1717" t="str">
            <v>02</v>
          </cell>
          <cell r="E1717" t="str">
            <v>506 00 00</v>
          </cell>
          <cell r="F1717" t="str">
            <v>327</v>
          </cell>
        </row>
        <row r="1718">
          <cell r="A1718" t="str">
            <v>Услуги связи </v>
          </cell>
          <cell r="B1718" t="str">
            <v>902</v>
          </cell>
          <cell r="C1718" t="str">
            <v>10</v>
          </cell>
          <cell r="D1718" t="str">
            <v>02</v>
          </cell>
          <cell r="E1718" t="str">
            <v>506 00 00</v>
          </cell>
          <cell r="F1718" t="str">
            <v>327</v>
          </cell>
        </row>
        <row r="1719">
          <cell r="A1719" t="str">
            <v>Транспортные услуги</v>
          </cell>
          <cell r="B1719" t="str">
            <v>902</v>
          </cell>
          <cell r="C1719" t="str">
            <v>10</v>
          </cell>
          <cell r="D1719" t="str">
            <v>02</v>
          </cell>
          <cell r="E1719" t="str">
            <v>506 00 00</v>
          </cell>
          <cell r="F1719" t="str">
            <v>327</v>
          </cell>
        </row>
        <row r="1720">
          <cell r="A1720" t="str">
            <v>Коммунальные услуги</v>
          </cell>
          <cell r="B1720" t="str">
            <v>902</v>
          </cell>
          <cell r="C1720" t="str">
            <v>10</v>
          </cell>
          <cell r="D1720" t="str">
            <v>02</v>
          </cell>
          <cell r="E1720" t="str">
            <v>506 00 00</v>
          </cell>
          <cell r="F1720" t="str">
            <v>327</v>
          </cell>
        </row>
        <row r="1721">
          <cell r="A1721" t="str">
            <v>Арендная плата за пользование иммуществом </v>
          </cell>
          <cell r="B1721" t="str">
            <v>902</v>
          </cell>
          <cell r="C1721" t="str">
            <v>10</v>
          </cell>
          <cell r="D1721" t="str">
            <v>02</v>
          </cell>
          <cell r="E1721" t="str">
            <v>506 00 00</v>
          </cell>
          <cell r="F1721" t="str">
            <v>327</v>
          </cell>
        </row>
        <row r="1722">
          <cell r="A1722" t="str">
            <v>Услуги по содержанию иммущества</v>
          </cell>
          <cell r="B1722" t="str">
            <v>902</v>
          </cell>
          <cell r="C1722" t="str">
            <v>10</v>
          </cell>
          <cell r="D1722" t="str">
            <v>02</v>
          </cell>
          <cell r="E1722" t="str">
            <v>506 00 00</v>
          </cell>
          <cell r="F1722" t="str">
            <v>327</v>
          </cell>
        </row>
        <row r="1723">
          <cell r="A1723" t="str">
            <v>Прочие услуги</v>
          </cell>
          <cell r="B1723" t="str">
            <v>902</v>
          </cell>
          <cell r="C1723" t="str">
            <v>10</v>
          </cell>
          <cell r="D1723" t="str">
            <v>02</v>
          </cell>
          <cell r="E1723" t="str">
            <v>506 00 00</v>
          </cell>
          <cell r="F1723" t="str">
            <v>327</v>
          </cell>
        </row>
        <row r="1724">
          <cell r="A1724" t="str">
            <v>Прочие расходы </v>
          </cell>
          <cell r="B1724" t="str">
            <v>902</v>
          </cell>
          <cell r="C1724" t="str">
            <v>10</v>
          </cell>
          <cell r="D1724" t="str">
            <v>02</v>
          </cell>
          <cell r="E1724" t="str">
            <v>506 00 00</v>
          </cell>
          <cell r="F1724" t="str">
            <v>327</v>
          </cell>
        </row>
        <row r="1725">
          <cell r="A1725" t="str">
            <v>Поступление нефинансовых активов</v>
          </cell>
          <cell r="B1725" t="str">
            <v>902</v>
          </cell>
          <cell r="C1725" t="str">
            <v>10</v>
          </cell>
          <cell r="D1725" t="str">
            <v>02</v>
          </cell>
          <cell r="E1725" t="str">
            <v>506 00 00</v>
          </cell>
          <cell r="F1725" t="str">
            <v>327</v>
          </cell>
        </row>
        <row r="1726">
          <cell r="A1726" t="str">
            <v>Увеличение стоимости основных средств</v>
          </cell>
          <cell r="B1726" t="str">
            <v>902</v>
          </cell>
          <cell r="C1726" t="str">
            <v>10</v>
          </cell>
          <cell r="D1726" t="str">
            <v>02</v>
          </cell>
          <cell r="E1726" t="str">
            <v>506 00 00</v>
          </cell>
          <cell r="F1726" t="str">
            <v>327</v>
          </cell>
        </row>
        <row r="1727">
          <cell r="A1727" t="str">
            <v>Увеличение стоимости материальных запасов</v>
          </cell>
          <cell r="B1727" t="str">
            <v>902</v>
          </cell>
          <cell r="C1727" t="str">
            <v>10</v>
          </cell>
          <cell r="D1727" t="str">
            <v>02</v>
          </cell>
          <cell r="E1727" t="str">
            <v>506 00 00</v>
          </cell>
          <cell r="F1727" t="str">
            <v>327</v>
          </cell>
        </row>
        <row r="1728">
          <cell r="A1728" t="str">
            <v>Социальное обеспечение населения </v>
          </cell>
          <cell r="B1728" t="str">
            <v>902</v>
          </cell>
          <cell r="C1728" t="str">
            <v>10</v>
          </cell>
          <cell r="D1728" t="str">
            <v>03</v>
          </cell>
          <cell r="E1728" t="str">
            <v>000 00 00</v>
          </cell>
          <cell r="F1728" t="str">
            <v>000</v>
          </cell>
        </row>
        <row r="1729">
          <cell r="A1729" t="str">
            <v>Фонд софинансирования социальных расходов </v>
          </cell>
          <cell r="B1729" t="str">
            <v>902</v>
          </cell>
          <cell r="C1729" t="str">
            <v>10</v>
          </cell>
          <cell r="D1729" t="str">
            <v>03</v>
          </cell>
          <cell r="E1729" t="str">
            <v>515 00 00</v>
          </cell>
          <cell r="F1729" t="str">
            <v>000 </v>
          </cell>
        </row>
        <row r="1730">
          <cell r="A1730" t="str">
            <v>Предоставление льгот ветеранам труда за счет средств бюджетов субъектов РФ и местных бюджетов </v>
          </cell>
          <cell r="B1730" t="str">
            <v>902</v>
          </cell>
          <cell r="C1730" t="str">
            <v>10</v>
          </cell>
          <cell r="D1730" t="str">
            <v>03</v>
          </cell>
          <cell r="E1730" t="str">
            <v>515 00 00</v>
          </cell>
          <cell r="F1730" t="str">
            <v>563</v>
          </cell>
        </row>
        <row r="1731">
          <cell r="A1731" t="str">
            <v>Пособие по социальной помощи населению </v>
          </cell>
          <cell r="B1731" t="str">
            <v>902</v>
          </cell>
          <cell r="C1731" t="str">
            <v>10</v>
          </cell>
          <cell r="D1731" t="str">
            <v>03</v>
          </cell>
          <cell r="E1731" t="str">
            <v>515 00 00</v>
          </cell>
          <cell r="F1731" t="str">
            <v>563</v>
          </cell>
        </row>
        <row r="1732">
          <cell r="A1732" t="str">
            <v>Дотации и субвенции </v>
          </cell>
          <cell r="B1732" t="str">
            <v>902</v>
          </cell>
          <cell r="C1732" t="str">
            <v>10</v>
          </cell>
          <cell r="D1732" t="str">
            <v>03</v>
          </cell>
          <cell r="E1732" t="str">
            <v>517 00 00</v>
          </cell>
          <cell r="F1732" t="str">
            <v>000</v>
          </cell>
        </row>
        <row r="1733">
          <cell r="A1733" t="str">
            <v>Погашение задолженности бюджетов по обязательствам, вытекающим из закона РФ " О реабилитации жертв политических репрессий" </v>
          </cell>
          <cell r="B1733" t="str">
            <v>902</v>
          </cell>
          <cell r="C1733" t="str">
            <v>10</v>
          </cell>
          <cell r="D1733" t="str">
            <v>03</v>
          </cell>
          <cell r="E1733" t="str">
            <v>517 00 00</v>
          </cell>
          <cell r="F1733" t="str">
            <v>479</v>
          </cell>
        </row>
        <row r="1734">
          <cell r="A1734" t="str">
            <v>Пособия по социальной помощи населению </v>
          </cell>
          <cell r="B1734" t="str">
            <v>902</v>
          </cell>
          <cell r="C1734" t="str">
            <v>10</v>
          </cell>
          <cell r="D1734" t="str">
            <v>03</v>
          </cell>
          <cell r="E1734" t="str">
            <v>517 00 00</v>
          </cell>
          <cell r="F1734" t="str">
            <v>479</v>
          </cell>
        </row>
        <row r="1735">
          <cell r="A1735" t="str">
            <v>Региональные целевые программы </v>
          </cell>
          <cell r="B1735" t="str">
            <v>902</v>
          </cell>
          <cell r="C1735" t="str">
            <v>10</v>
          </cell>
          <cell r="D1735" t="str">
            <v>03</v>
          </cell>
          <cell r="E1735" t="str">
            <v>522 00 00</v>
          </cell>
          <cell r="F1735" t="str">
            <v>000</v>
          </cell>
        </row>
        <row r="1736">
          <cell r="A1736" t="str">
            <v>Мероприятия в области социальной политики </v>
          </cell>
          <cell r="B1736" t="str">
            <v>902</v>
          </cell>
          <cell r="C1736" t="str">
            <v>10</v>
          </cell>
          <cell r="D1736" t="str">
            <v>03</v>
          </cell>
          <cell r="E1736" t="str">
            <v>522 00 00</v>
          </cell>
          <cell r="F1736" t="str">
            <v>482</v>
          </cell>
        </row>
        <row r="1737">
          <cell r="A1737" t="str">
            <v>Социальное обеспечение населения </v>
          </cell>
          <cell r="B1737" t="str">
            <v>902</v>
          </cell>
          <cell r="C1737" t="str">
            <v>10</v>
          </cell>
          <cell r="D1737" t="str">
            <v>03</v>
          </cell>
          <cell r="E1737" t="str">
            <v>000 00 00</v>
          </cell>
          <cell r="F1737" t="str">
            <v>000 </v>
          </cell>
        </row>
        <row r="1738">
          <cell r="A1738" t="str">
            <v>Фонд компенсации </v>
          </cell>
          <cell r="B1738" t="str">
            <v>902</v>
          </cell>
          <cell r="C1738" t="str">
            <v>10</v>
          </cell>
          <cell r="D1738" t="str">
            <v>03</v>
          </cell>
          <cell r="E1738" t="str">
            <v>519 00 00</v>
          </cell>
          <cell r="F1738" t="str">
            <v>000</v>
          </cell>
        </row>
        <row r="1739">
          <cell r="A1739" t="str">
            <v>Субвенции на оплату жилищно-коммунальных услуг отдельным категориям граждан</v>
          </cell>
          <cell r="B1739" t="str">
            <v>902</v>
          </cell>
          <cell r="C1739" t="str">
            <v>10</v>
          </cell>
          <cell r="D1739" t="str">
            <v>03</v>
          </cell>
          <cell r="E1739" t="str">
            <v>519 00 00</v>
          </cell>
          <cell r="F1739" t="str">
            <v>561</v>
          </cell>
        </row>
        <row r="1740">
          <cell r="A1740" t="str">
            <v>Пособие по социальной помощи населению </v>
          </cell>
          <cell r="B1740" t="str">
            <v>902</v>
          </cell>
          <cell r="C1740" t="str">
            <v>10</v>
          </cell>
          <cell r="D1740" t="str">
            <v>03</v>
          </cell>
          <cell r="E1740" t="str">
            <v>519 00 00</v>
          </cell>
          <cell r="F1740" t="str">
            <v>561</v>
          </cell>
        </row>
        <row r="1741">
          <cell r="A1741" t="str">
            <v>Пособия по социальной помощи населению </v>
          </cell>
          <cell r="B1741" t="str">
            <v>902</v>
          </cell>
          <cell r="C1741" t="str">
            <v>10</v>
          </cell>
          <cell r="D1741" t="str">
            <v>03</v>
          </cell>
          <cell r="E1741" t="str">
            <v>522 00 00</v>
          </cell>
          <cell r="F1741" t="str">
            <v>482</v>
          </cell>
        </row>
        <row r="1742">
          <cell r="A1742" t="str">
            <v>Борьба с беспризорностью, опека, попечительство</v>
          </cell>
          <cell r="B1742" t="str">
            <v>902</v>
          </cell>
          <cell r="C1742" t="str">
            <v>10</v>
          </cell>
          <cell r="D1742" t="str">
            <v>04</v>
          </cell>
          <cell r="E1742" t="str">
            <v>000 00 00</v>
          </cell>
          <cell r="F1742" t="str">
            <v>000</v>
          </cell>
        </row>
        <row r="1743">
          <cell r="A1743" t="str">
            <v>Мероприятия по борьбе с беспризорностью, по опеке и попечительству </v>
          </cell>
          <cell r="B1743" t="str">
            <v>902</v>
          </cell>
          <cell r="C1743" t="str">
            <v>10</v>
          </cell>
          <cell r="D1743" t="str">
            <v>04</v>
          </cell>
          <cell r="E1743" t="str">
            <v>511 00 00</v>
          </cell>
          <cell r="F1743" t="str">
            <v>000</v>
          </cell>
        </row>
        <row r="1744">
          <cell r="A1744" t="str">
            <v>Другие пособия и компенсации </v>
          </cell>
          <cell r="B1744" t="str">
            <v>902</v>
          </cell>
          <cell r="C1744" t="str">
            <v>10</v>
          </cell>
          <cell r="D1744" t="str">
            <v>04</v>
          </cell>
          <cell r="E1744" t="str">
            <v>511 00 00</v>
          </cell>
          <cell r="F1744" t="str">
            <v>755</v>
          </cell>
        </row>
        <row r="1745">
          <cell r="A1745" t="str">
            <v>Пособия по социальной помощи населению </v>
          </cell>
          <cell r="B1745" t="str">
            <v>902</v>
          </cell>
          <cell r="C1745" t="str">
            <v>10</v>
          </cell>
          <cell r="D1745" t="str">
            <v>04</v>
          </cell>
          <cell r="E1745" t="str">
            <v>511 00 00</v>
          </cell>
          <cell r="F1745" t="str">
            <v>755</v>
          </cell>
        </row>
        <row r="1746">
          <cell r="A1746" t="str">
            <v>Региональные целевые программы </v>
          </cell>
          <cell r="B1746" t="str">
            <v>902</v>
          </cell>
          <cell r="C1746" t="str">
            <v>10</v>
          </cell>
          <cell r="D1746" t="str">
            <v>04</v>
          </cell>
          <cell r="E1746" t="str">
            <v>522 00 00</v>
          </cell>
          <cell r="F1746" t="str">
            <v>000</v>
          </cell>
        </row>
        <row r="1747">
          <cell r="A1747" t="str">
            <v>Профилактика безнадзорности и правонарушений несовершеннолетних</v>
          </cell>
          <cell r="B1747" t="str">
            <v>902</v>
          </cell>
          <cell r="C1747" t="str">
            <v>10</v>
          </cell>
          <cell r="D1747" t="str">
            <v>04</v>
          </cell>
          <cell r="E1747" t="str">
            <v>522 00 00</v>
          </cell>
          <cell r="F1747" t="str">
            <v>481</v>
          </cell>
        </row>
        <row r="1748">
          <cell r="A1748" t="str">
            <v>Прочие расходы </v>
          </cell>
          <cell r="B1748" t="str">
            <v>902</v>
          </cell>
          <cell r="C1748" t="str">
            <v>10</v>
          </cell>
          <cell r="D1748" t="str">
            <v>04</v>
          </cell>
          <cell r="E1748" t="str">
            <v>522 00 00</v>
          </cell>
          <cell r="F1748" t="str">
            <v>481</v>
          </cell>
        </row>
        <row r="1749">
          <cell r="A1749" t="str">
            <v>Другие вопросы в области социальной политики</v>
          </cell>
          <cell r="B1749" t="str">
            <v>902</v>
          </cell>
          <cell r="C1749" t="str">
            <v>10</v>
          </cell>
          <cell r="D1749" t="str">
            <v>06</v>
          </cell>
          <cell r="E1749" t="str">
            <v>000 00 00</v>
          </cell>
          <cell r="F1749" t="str">
            <v>000</v>
          </cell>
        </row>
        <row r="1750">
          <cell r="A1750" t="str">
            <v>Руководство и управление в сфере установленных функций</v>
          </cell>
          <cell r="B1750" t="str">
            <v>902</v>
          </cell>
          <cell r="C1750" t="str">
            <v>10</v>
          </cell>
          <cell r="D1750" t="str">
            <v>06</v>
          </cell>
          <cell r="E1750" t="str">
            <v>001 00 00</v>
          </cell>
          <cell r="F1750" t="str">
            <v>000</v>
          </cell>
        </row>
        <row r="1751">
          <cell r="A1751" t="str">
            <v>Центральный аппарат</v>
          </cell>
          <cell r="B1751" t="str">
            <v>902</v>
          </cell>
          <cell r="C1751" t="str">
            <v>10</v>
          </cell>
          <cell r="D1751" t="str">
            <v>06</v>
          </cell>
          <cell r="E1751" t="str">
            <v>001 00 00</v>
          </cell>
          <cell r="F1751" t="str">
            <v>005</v>
          </cell>
        </row>
        <row r="1752">
          <cell r="A1752" t="str">
            <v>Оплата труда и начисления на оплату труда</v>
          </cell>
          <cell r="B1752" t="str">
            <v>902</v>
          </cell>
          <cell r="C1752" t="str">
            <v>10</v>
          </cell>
          <cell r="D1752" t="str">
            <v>06</v>
          </cell>
          <cell r="E1752" t="str">
            <v>001 00 00</v>
          </cell>
          <cell r="F1752" t="str">
            <v>005</v>
          </cell>
        </row>
        <row r="1753">
          <cell r="A1753" t="str">
            <v>Заработная плата</v>
          </cell>
          <cell r="B1753" t="str">
            <v>902</v>
          </cell>
          <cell r="C1753" t="str">
            <v>10</v>
          </cell>
          <cell r="D1753" t="str">
            <v>06</v>
          </cell>
          <cell r="E1753" t="str">
            <v>001 00 00</v>
          </cell>
          <cell r="F1753" t="str">
            <v>005</v>
          </cell>
        </row>
        <row r="1754">
          <cell r="A1754" t="str">
            <v>Прочие выплаты</v>
          </cell>
          <cell r="B1754" t="str">
            <v>902</v>
          </cell>
          <cell r="C1754" t="str">
            <v>10</v>
          </cell>
          <cell r="D1754" t="str">
            <v>06</v>
          </cell>
          <cell r="E1754" t="str">
            <v>001 00 00</v>
          </cell>
          <cell r="F1754" t="str">
            <v>005</v>
          </cell>
        </row>
        <row r="1755">
          <cell r="A1755" t="str">
            <v>Начисление на оплату труда</v>
          </cell>
          <cell r="B1755" t="str">
            <v>902</v>
          </cell>
          <cell r="C1755" t="str">
            <v>10</v>
          </cell>
          <cell r="D1755" t="str">
            <v>06</v>
          </cell>
          <cell r="E1755" t="str">
            <v>001 00 00</v>
          </cell>
          <cell r="F1755" t="str">
            <v>005</v>
          </cell>
        </row>
        <row r="1756">
          <cell r="A1756" t="str">
            <v>Приобретение услуг</v>
          </cell>
          <cell r="B1756" t="str">
            <v>902</v>
          </cell>
          <cell r="C1756" t="str">
            <v>10</v>
          </cell>
          <cell r="D1756" t="str">
            <v>06</v>
          </cell>
          <cell r="E1756" t="str">
            <v>001 00 00</v>
          </cell>
          <cell r="F1756" t="str">
            <v>005</v>
          </cell>
        </row>
        <row r="1757">
          <cell r="A1757" t="str">
            <v>Услуги связи </v>
          </cell>
          <cell r="B1757" t="str">
            <v>902</v>
          </cell>
          <cell r="C1757" t="str">
            <v>10</v>
          </cell>
          <cell r="D1757" t="str">
            <v>06</v>
          </cell>
          <cell r="E1757" t="str">
            <v>001 00 00</v>
          </cell>
          <cell r="F1757" t="str">
            <v>005</v>
          </cell>
        </row>
        <row r="1758">
          <cell r="A1758" t="str">
            <v>Транспортные услуги</v>
          </cell>
          <cell r="B1758" t="str">
            <v>902</v>
          </cell>
          <cell r="C1758" t="str">
            <v>10</v>
          </cell>
          <cell r="D1758" t="str">
            <v>06</v>
          </cell>
          <cell r="E1758" t="str">
            <v>001 00 00</v>
          </cell>
          <cell r="F1758" t="str">
            <v>005</v>
          </cell>
        </row>
        <row r="1759">
          <cell r="A1759" t="str">
            <v>Коммунальные услуги</v>
          </cell>
          <cell r="B1759" t="str">
            <v>902</v>
          </cell>
          <cell r="C1759" t="str">
            <v>10</v>
          </cell>
          <cell r="D1759" t="str">
            <v>06</v>
          </cell>
          <cell r="E1759" t="str">
            <v>001 00 00</v>
          </cell>
          <cell r="F1759" t="str">
            <v>005</v>
          </cell>
        </row>
        <row r="1760">
          <cell r="A1760" t="str">
            <v>Арендная плата за пользование иммуществом </v>
          </cell>
          <cell r="B1760" t="str">
            <v>902</v>
          </cell>
          <cell r="C1760" t="str">
            <v>10</v>
          </cell>
          <cell r="D1760" t="str">
            <v>06</v>
          </cell>
          <cell r="E1760" t="str">
            <v>001 00 00</v>
          </cell>
          <cell r="F1760" t="str">
            <v>005</v>
          </cell>
        </row>
        <row r="1761">
          <cell r="A1761" t="str">
            <v>Услуги по содержанию иммущества</v>
          </cell>
          <cell r="B1761" t="str">
            <v>902</v>
          </cell>
          <cell r="C1761" t="str">
            <v>10</v>
          </cell>
          <cell r="D1761" t="str">
            <v>06</v>
          </cell>
          <cell r="E1761" t="str">
            <v>001 00 00</v>
          </cell>
          <cell r="F1761" t="str">
            <v>005</v>
          </cell>
        </row>
        <row r="1762">
          <cell r="A1762" t="str">
            <v>Прочие услуги</v>
          </cell>
          <cell r="B1762" t="str">
            <v>902</v>
          </cell>
          <cell r="C1762" t="str">
            <v>10</v>
          </cell>
          <cell r="D1762" t="str">
            <v>06</v>
          </cell>
          <cell r="E1762" t="str">
            <v>001 00 00</v>
          </cell>
          <cell r="F1762" t="str">
            <v>005</v>
          </cell>
        </row>
        <row r="1763">
          <cell r="A1763" t="str">
            <v>Прочие расходы </v>
          </cell>
          <cell r="B1763" t="str">
            <v>902</v>
          </cell>
          <cell r="C1763" t="str">
            <v>10</v>
          </cell>
          <cell r="D1763" t="str">
            <v>06</v>
          </cell>
          <cell r="E1763" t="str">
            <v>001 00 00 </v>
          </cell>
          <cell r="F1763" t="str">
            <v>005</v>
          </cell>
        </row>
        <row r="1764">
          <cell r="A1764" t="str">
            <v>Поступление нефинансовых активов</v>
          </cell>
          <cell r="B1764" t="str">
            <v>902</v>
          </cell>
          <cell r="C1764" t="str">
            <v>10</v>
          </cell>
          <cell r="D1764" t="str">
            <v>06</v>
          </cell>
          <cell r="E1764" t="str">
            <v>001 00 00</v>
          </cell>
          <cell r="F1764" t="str">
            <v>005</v>
          </cell>
        </row>
        <row r="1765">
          <cell r="A1765" t="str">
            <v>Увеличение стоимости основных средств</v>
          </cell>
          <cell r="B1765" t="str">
            <v>902</v>
          </cell>
          <cell r="C1765" t="str">
            <v>10</v>
          </cell>
          <cell r="D1765" t="str">
            <v>06</v>
          </cell>
          <cell r="E1765" t="str">
            <v>001 00 00</v>
          </cell>
          <cell r="F1765" t="str">
            <v>005</v>
          </cell>
        </row>
        <row r="1766">
          <cell r="A1766" t="str">
            <v>Увеличение стоимости материальных запасов</v>
          </cell>
          <cell r="B1766" t="str">
            <v>902</v>
          </cell>
          <cell r="C1766" t="str">
            <v>10</v>
          </cell>
          <cell r="D1766" t="str">
            <v>06</v>
          </cell>
          <cell r="E1766" t="str">
            <v>001 00 00</v>
          </cell>
          <cell r="F1766" t="str">
            <v>005</v>
          </cell>
        </row>
        <row r="1767">
          <cell r="A1767" t="str">
            <v>Региональные целевые программы</v>
          </cell>
          <cell r="B1767" t="str">
            <v>902</v>
          </cell>
          <cell r="C1767" t="str">
            <v>10</v>
          </cell>
          <cell r="D1767" t="str">
            <v>06</v>
          </cell>
          <cell r="E1767" t="str">
            <v>000 00 00</v>
          </cell>
          <cell r="F1767" t="str">
            <v>000 </v>
          </cell>
        </row>
        <row r="1768">
          <cell r="A1768" t="str">
            <v>Мероприятия в области социальной политики </v>
          </cell>
          <cell r="B1768" t="str">
            <v>902</v>
          </cell>
          <cell r="C1768" t="str">
            <v>10</v>
          </cell>
          <cell r="D1768" t="str">
            <v>06</v>
          </cell>
          <cell r="E1768" t="str">
            <v>522 00 00</v>
          </cell>
          <cell r="F1768" t="str">
            <v>482</v>
          </cell>
        </row>
        <row r="1769">
          <cell r="A1769" t="str">
            <v>Прочие расходы </v>
          </cell>
          <cell r="B1769" t="str">
            <v>902</v>
          </cell>
          <cell r="C1769" t="str">
            <v>10</v>
          </cell>
          <cell r="D1769" t="str">
            <v>06</v>
          </cell>
          <cell r="E1769" t="str">
            <v>522 00 00</v>
          </cell>
          <cell r="F1769" t="str">
            <v>482</v>
          </cell>
        </row>
        <row r="1770">
          <cell r="A1770" t="str">
            <v>Социальное обеспечение населения </v>
          </cell>
          <cell r="C1770" t="str">
            <v>10</v>
          </cell>
          <cell r="D1770" t="str">
            <v>03</v>
          </cell>
          <cell r="E1770" t="str">
            <v>000 00 00</v>
          </cell>
          <cell r="F1770" t="str">
            <v>000</v>
          </cell>
        </row>
        <row r="1771">
          <cell r="C1771" t="str">
            <v>10</v>
          </cell>
          <cell r="D1771" t="str">
            <v>03</v>
          </cell>
          <cell r="E1771" t="str">
            <v>000 00 00</v>
          </cell>
          <cell r="F1771" t="str">
            <v>000</v>
          </cell>
        </row>
        <row r="1772">
          <cell r="A1772" t="str">
            <v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v>
          </cell>
          <cell r="B1772" t="str">
            <v>902</v>
          </cell>
          <cell r="C1772" t="str">
            <v>10</v>
          </cell>
          <cell r="D1772" t="str">
            <v>03</v>
          </cell>
          <cell r="E1772" t="str">
            <v>002 00 00</v>
          </cell>
          <cell r="F1772" t="str">
            <v>000</v>
          </cell>
        </row>
        <row r="1773">
          <cell r="A1773" t="str">
            <v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v>
          </cell>
          <cell r="B1773" t="str">
            <v>902</v>
          </cell>
          <cell r="C1773" t="str">
            <v>10</v>
          </cell>
          <cell r="D1773" t="str">
            <v>03</v>
          </cell>
          <cell r="E1773" t="str">
            <v>002 47 01</v>
          </cell>
          <cell r="F1773" t="str">
            <v>000</v>
          </cell>
        </row>
        <row r="1774">
          <cell r="A1774" t="str">
            <v>Социальные выплаты</v>
          </cell>
          <cell r="B1774" t="str">
            <v>902</v>
          </cell>
          <cell r="C1774" t="str">
            <v>10</v>
          </cell>
          <cell r="D1774" t="str">
            <v>03</v>
          </cell>
          <cell r="E1774" t="str">
            <v>002 47 01</v>
          </cell>
          <cell r="F1774" t="str">
            <v>005</v>
          </cell>
        </row>
        <row r="1775">
          <cell r="A1775" t="str">
            <v>Приобретение услуг</v>
          </cell>
          <cell r="B1775" t="str">
            <v>902</v>
          </cell>
          <cell r="C1775" t="str">
            <v>10</v>
          </cell>
          <cell r="D1775" t="str">
            <v>03</v>
          </cell>
          <cell r="E1775" t="str">
            <v>002 47 01</v>
          </cell>
          <cell r="F1775" t="str">
            <v>500</v>
          </cell>
        </row>
        <row r="1776">
          <cell r="A1776" t="str">
            <v>Заработная плата</v>
          </cell>
          <cell r="B1776" t="str">
            <v>902</v>
          </cell>
          <cell r="C1776" t="str">
            <v>10</v>
          </cell>
          <cell r="D1776" t="str">
            <v>03</v>
          </cell>
          <cell r="E1776" t="str">
            <v>002 47 01</v>
          </cell>
          <cell r="F1776" t="str">
            <v>500</v>
          </cell>
        </row>
        <row r="1777">
          <cell r="A1777" t="str">
            <v>Прочие выплаты</v>
          </cell>
          <cell r="B1777" t="str">
            <v>902</v>
          </cell>
          <cell r="C1777" t="str">
            <v>10</v>
          </cell>
          <cell r="D1777" t="str">
            <v>03</v>
          </cell>
          <cell r="E1777" t="str">
            <v>002 47 01</v>
          </cell>
          <cell r="F1777" t="str">
            <v>500</v>
          </cell>
        </row>
        <row r="1778">
          <cell r="A1778" t="str">
            <v>Начисление на оплату труда</v>
          </cell>
          <cell r="B1778" t="str">
            <v>902</v>
          </cell>
          <cell r="C1778" t="str">
            <v>10</v>
          </cell>
          <cell r="D1778" t="str">
            <v>03</v>
          </cell>
          <cell r="E1778" t="str">
            <v>002 47 01</v>
          </cell>
          <cell r="F1778" t="str">
            <v>500</v>
          </cell>
        </row>
        <row r="1779">
          <cell r="A1779" t="str">
            <v>Приобретение услуг</v>
          </cell>
          <cell r="B1779" t="str">
            <v>902</v>
          </cell>
          <cell r="C1779" t="str">
            <v>10</v>
          </cell>
          <cell r="D1779" t="str">
            <v>03</v>
          </cell>
          <cell r="E1779" t="str">
            <v>002 47 01</v>
          </cell>
          <cell r="F1779" t="str">
            <v>500</v>
          </cell>
        </row>
        <row r="1780">
          <cell r="A1780" t="str">
            <v>Услуги связи </v>
          </cell>
          <cell r="B1780" t="str">
            <v>902</v>
          </cell>
          <cell r="C1780" t="str">
            <v>10</v>
          </cell>
          <cell r="D1780" t="str">
            <v>03</v>
          </cell>
          <cell r="E1780" t="str">
            <v>002 47 01</v>
          </cell>
          <cell r="F1780" t="str">
            <v>500</v>
          </cell>
        </row>
        <row r="1781">
          <cell r="A1781" t="str">
            <v>Прочие услуги</v>
          </cell>
          <cell r="B1781" t="str">
            <v>902</v>
          </cell>
          <cell r="C1781" t="str">
            <v>10</v>
          </cell>
          <cell r="D1781" t="str">
            <v>03</v>
          </cell>
          <cell r="E1781" t="str">
            <v>002 47 01</v>
          </cell>
          <cell r="F1781" t="str">
            <v>500</v>
          </cell>
        </row>
        <row r="1782">
          <cell r="A1782" t="str">
            <v>Поступление нефинансовых активов</v>
          </cell>
          <cell r="B1782" t="str">
            <v>902</v>
          </cell>
          <cell r="C1782" t="str">
            <v>10</v>
          </cell>
          <cell r="D1782" t="str">
            <v>03</v>
          </cell>
          <cell r="E1782" t="str">
            <v>002 47 01</v>
          </cell>
          <cell r="F1782" t="str">
            <v>500</v>
          </cell>
        </row>
        <row r="1783">
          <cell r="A1783" t="str">
            <v>Увеличение стоймости основных средств</v>
          </cell>
          <cell r="B1783" t="str">
            <v>902</v>
          </cell>
          <cell r="C1783" t="str">
            <v>10</v>
          </cell>
          <cell r="D1783" t="str">
            <v>03</v>
          </cell>
          <cell r="E1783" t="str">
            <v>002 47 01</v>
          </cell>
          <cell r="F1783" t="str">
            <v>500</v>
          </cell>
        </row>
        <row r="1784">
          <cell r="A1784" t="str">
            <v>Увеличение стоимости материальных запасов</v>
          </cell>
          <cell r="B1784" t="str">
            <v>902</v>
          </cell>
          <cell r="C1784" t="str">
            <v>10</v>
          </cell>
          <cell r="D1784" t="str">
            <v>03</v>
          </cell>
          <cell r="E1784" t="str">
            <v>002 47 01</v>
          </cell>
          <cell r="F1784" t="str">
            <v>500</v>
          </cell>
        </row>
        <row r="1785">
          <cell r="B1785" t="str">
            <v>902</v>
          </cell>
          <cell r="C1785" t="str">
            <v>10</v>
          </cell>
          <cell r="D1785" t="str">
            <v>03</v>
          </cell>
          <cell r="E1785" t="str">
            <v>002 47 00</v>
          </cell>
          <cell r="F1785" t="str">
            <v>000</v>
          </cell>
        </row>
        <row r="1786">
          <cell r="A1786" t="str">
            <v>Осуществление областных государственных полномочий по предоставлению гражданам субсидий на оплату жилых помещений и коммунальных услуг</v>
          </cell>
          <cell r="B1786" t="str">
            <v>902</v>
          </cell>
          <cell r="C1786" t="str">
            <v>10</v>
          </cell>
          <cell r="D1786" t="str">
            <v>03</v>
          </cell>
          <cell r="E1786" t="str">
            <v>002 47 02</v>
          </cell>
          <cell r="F1786" t="str">
            <v>000</v>
          </cell>
        </row>
        <row r="1787">
          <cell r="A1787" t="str">
            <v>Социальные выплаты</v>
          </cell>
          <cell r="B1787" t="str">
            <v>902</v>
          </cell>
          <cell r="C1787" t="str">
            <v>10</v>
          </cell>
          <cell r="D1787" t="str">
            <v>03</v>
          </cell>
          <cell r="E1787" t="str">
            <v>002 47 02</v>
          </cell>
          <cell r="F1787" t="str">
            <v>005</v>
          </cell>
        </row>
        <row r="1788">
          <cell r="A1788" t="str">
            <v>Расходы</v>
          </cell>
          <cell r="B1788" t="str">
            <v>902</v>
          </cell>
          <cell r="C1788" t="str">
            <v>10</v>
          </cell>
          <cell r="D1788" t="str">
            <v>03</v>
          </cell>
          <cell r="E1788" t="str">
            <v>002 47 02</v>
          </cell>
          <cell r="F1788" t="str">
            <v>005</v>
          </cell>
        </row>
        <row r="1789">
          <cell r="A1789" t="str">
            <v>Приобретение работ, услуг</v>
          </cell>
          <cell r="B1789" t="str">
            <v>902</v>
          </cell>
          <cell r="C1789" t="str">
            <v>10</v>
          </cell>
          <cell r="D1789" t="str">
            <v>03</v>
          </cell>
          <cell r="E1789" t="str">
            <v>002 47 02</v>
          </cell>
          <cell r="F1789" t="str">
            <v>005</v>
          </cell>
        </row>
        <row r="1790">
          <cell r="A1790" t="str">
            <v>Услуги связи</v>
          </cell>
          <cell r="B1790" t="str">
            <v>902</v>
          </cell>
          <cell r="C1790" t="str">
            <v>10</v>
          </cell>
          <cell r="D1790" t="str">
            <v>03</v>
          </cell>
          <cell r="E1790" t="str">
            <v>002 47 02</v>
          </cell>
          <cell r="F1790" t="str">
            <v>005</v>
          </cell>
        </row>
        <row r="1791">
          <cell r="A1791" t="str">
            <v>Прочие работы, услуги</v>
          </cell>
          <cell r="B1791" t="str">
            <v>902</v>
          </cell>
          <cell r="C1791" t="str">
            <v>10</v>
          </cell>
          <cell r="D1791" t="str">
            <v>03</v>
          </cell>
          <cell r="E1791" t="str">
            <v>002 47 02</v>
          </cell>
          <cell r="F1791" t="str">
            <v>005</v>
          </cell>
        </row>
        <row r="1792">
          <cell r="A1792" t="str">
            <v>Социальное обеспечение</v>
          </cell>
          <cell r="B1792" t="str">
            <v>902</v>
          </cell>
          <cell r="C1792" t="str">
            <v>10</v>
          </cell>
          <cell r="D1792" t="str">
            <v>03</v>
          </cell>
          <cell r="E1792" t="str">
            <v>002 47 02</v>
          </cell>
          <cell r="F1792" t="str">
            <v>005</v>
          </cell>
        </row>
        <row r="1793">
          <cell r="A1793" t="str">
            <v>Пособия по социальной помощи населению</v>
          </cell>
          <cell r="B1793" t="str">
            <v>902</v>
          </cell>
          <cell r="C1793" t="str">
            <v>10</v>
          </cell>
          <cell r="D1793" t="str">
            <v>03</v>
          </cell>
          <cell r="E1793" t="str">
            <v>002 47 02</v>
          </cell>
          <cell r="F1793" t="str">
            <v>005</v>
          </cell>
        </row>
        <row r="1794">
          <cell r="A1794" t="str">
            <v>Поступление нефинансовых активов</v>
          </cell>
          <cell r="B1794" t="str">
            <v>902</v>
          </cell>
          <cell r="C1794" t="str">
            <v>10</v>
          </cell>
          <cell r="D1794" t="str">
            <v>03</v>
          </cell>
          <cell r="E1794" t="str">
            <v>521 02 09</v>
          </cell>
          <cell r="F1794" t="str">
            <v>005</v>
          </cell>
        </row>
        <row r="1795">
          <cell r="A1795" t="str">
            <v>Увеличение стоимости материальных запасов</v>
          </cell>
          <cell r="B1795" t="str">
            <v>902</v>
          </cell>
          <cell r="C1795" t="str">
            <v>10</v>
          </cell>
          <cell r="D1795" t="str">
            <v>03</v>
          </cell>
          <cell r="E1795" t="str">
            <v>521 02 09</v>
          </cell>
          <cell r="F1795" t="str">
            <v>005</v>
          </cell>
        </row>
        <row r="1796">
          <cell r="A1796" t="str">
            <v>Субвенции на осуществление органами местного самоуправления областных государственных полномочий по предоставлению мер социальной поддержки многодетным и малоимущим семьям</v>
          </cell>
          <cell r="B1796" t="str">
            <v>903</v>
          </cell>
          <cell r="C1796" t="str">
            <v>10</v>
          </cell>
          <cell r="D1796" t="str">
            <v>03</v>
          </cell>
          <cell r="E1796" t="str">
            <v>002 46 00</v>
          </cell>
          <cell r="F1796" t="str">
            <v>000</v>
          </cell>
        </row>
        <row r="1797">
          <cell r="A1797" t="str">
            <v>Социальные выплаты</v>
          </cell>
          <cell r="B1797" t="str">
            <v>903</v>
          </cell>
          <cell r="C1797" t="str">
            <v>10</v>
          </cell>
          <cell r="D1797" t="str">
            <v>03</v>
          </cell>
          <cell r="E1797" t="str">
            <v>505 85 05</v>
          </cell>
          <cell r="F1797" t="str">
            <v>005</v>
          </cell>
        </row>
        <row r="1798">
          <cell r="A1798" t="str">
            <v>Расходы</v>
          </cell>
          <cell r="B1798" t="str">
            <v>903</v>
          </cell>
          <cell r="C1798" t="str">
            <v>10</v>
          </cell>
          <cell r="D1798" t="str">
            <v>03</v>
          </cell>
          <cell r="E1798" t="str">
            <v>505 85 05</v>
          </cell>
          <cell r="F1798" t="str">
            <v>005</v>
          </cell>
        </row>
        <row r="1799">
          <cell r="A1799" t="str">
            <v>Социальное обеспечение</v>
          </cell>
          <cell r="B1799" t="str">
            <v>903</v>
          </cell>
          <cell r="C1799" t="str">
            <v>10</v>
          </cell>
          <cell r="D1799" t="str">
            <v>03</v>
          </cell>
          <cell r="E1799" t="str">
            <v>505 85 05</v>
          </cell>
          <cell r="F1799" t="str">
            <v>005</v>
          </cell>
        </row>
        <row r="1800">
          <cell r="A1800" t="str">
            <v>Пособия по социальной помощи населению</v>
          </cell>
          <cell r="B1800" t="str">
            <v>903</v>
          </cell>
          <cell r="C1800" t="str">
            <v>10</v>
          </cell>
          <cell r="D1800" t="str">
            <v>03</v>
          </cell>
          <cell r="E1800" t="str">
            <v>505 85 05</v>
          </cell>
          <cell r="F1800" t="str">
            <v>005</v>
          </cell>
        </row>
        <row r="1801">
          <cell r="A1801" t="str">
            <v>Социальные выплаты</v>
          </cell>
          <cell r="B1801" t="str">
            <v>903</v>
          </cell>
          <cell r="C1801" t="str">
            <v>10</v>
          </cell>
          <cell r="D1801" t="str">
            <v>03</v>
          </cell>
          <cell r="E1801" t="str">
            <v>002 46 00</v>
          </cell>
          <cell r="F1801" t="str">
            <v>000</v>
          </cell>
        </row>
        <row r="1802">
          <cell r="A1802" t="str">
            <v>Расходы</v>
          </cell>
          <cell r="B1802" t="str">
            <v>903</v>
          </cell>
          <cell r="C1802" t="str">
            <v>10</v>
          </cell>
          <cell r="D1802" t="str">
            <v>03</v>
          </cell>
          <cell r="E1802" t="str">
            <v>002 46 00</v>
          </cell>
          <cell r="F1802" t="str">
            <v>005</v>
          </cell>
        </row>
        <row r="1803">
          <cell r="A1803" t="str">
            <v>Социальное обеспечение</v>
          </cell>
          <cell r="B1803" t="str">
            <v>903</v>
          </cell>
          <cell r="C1803" t="str">
            <v>10</v>
          </cell>
          <cell r="D1803" t="str">
            <v>03</v>
          </cell>
          <cell r="E1803" t="str">
            <v>002 46 00</v>
          </cell>
          <cell r="F1803" t="str">
            <v>000</v>
          </cell>
        </row>
        <row r="1804">
          <cell r="A1804" t="str">
            <v>Осуществление отдельных областных государственных полномочий по предоставлению мер социальной поддержки многодетным и малоимущим семьям</v>
          </cell>
          <cell r="B1804" t="str">
            <v>903</v>
          </cell>
          <cell r="C1804" t="str">
            <v>10</v>
          </cell>
          <cell r="D1804" t="str">
            <v>03</v>
          </cell>
          <cell r="E1804" t="str">
            <v>002 46 00</v>
          </cell>
          <cell r="F1804" t="str">
            <v>000</v>
          </cell>
        </row>
        <row r="1805">
          <cell r="A1805" t="str">
            <v>Пособия по социальной помощи населению</v>
          </cell>
          <cell r="C1805" t="str">
            <v>10</v>
          </cell>
          <cell r="D1805" t="str">
            <v>04</v>
          </cell>
          <cell r="E1805" t="str">
            <v>000 00 00</v>
          </cell>
          <cell r="F1805" t="str">
            <v>000</v>
          </cell>
        </row>
        <row r="1806">
          <cell r="A1806" t="str">
            <v>Пособия по социальной помощи населению</v>
          </cell>
          <cell r="C1806" t="str">
            <v>10</v>
          </cell>
          <cell r="D1806" t="str">
            <v>04</v>
          </cell>
          <cell r="E1806" t="str">
            <v>795 00 00</v>
          </cell>
          <cell r="F1806" t="str">
            <v>000</v>
          </cell>
        </row>
        <row r="1807">
          <cell r="A1807" t="str">
            <v>Пособия по социальной помощи населению</v>
          </cell>
          <cell r="C1807" t="str">
            <v>10</v>
          </cell>
          <cell r="D1807" t="str">
            <v>04</v>
          </cell>
          <cell r="E1807" t="str">
            <v>795 00 00</v>
          </cell>
          <cell r="F1807" t="str">
            <v>500</v>
          </cell>
        </row>
        <row r="1808">
          <cell r="A1808" t="str">
            <v>Пособия по социальной помощи населению</v>
          </cell>
          <cell r="B1808" t="str">
            <v>904</v>
          </cell>
          <cell r="C1808" t="str">
            <v>10</v>
          </cell>
          <cell r="D1808" t="str">
            <v>04</v>
          </cell>
          <cell r="E1808" t="str">
            <v>795 00 00</v>
          </cell>
          <cell r="F1808" t="str">
            <v>500</v>
          </cell>
        </row>
        <row r="1809">
          <cell r="A1809" t="str">
            <v>Пособия по социальной помощи населению</v>
          </cell>
          <cell r="B1809" t="str">
            <v>902</v>
          </cell>
          <cell r="C1809" t="str">
            <v>10</v>
          </cell>
          <cell r="D1809" t="str">
            <v>04</v>
          </cell>
          <cell r="E1809" t="str">
            <v>795 00 00</v>
          </cell>
          <cell r="F1809" t="str">
            <v>500</v>
          </cell>
        </row>
        <row r="1810">
          <cell r="A1810" t="str">
            <v>Пособия по социальной помощи населению</v>
          </cell>
          <cell r="B1810" t="str">
            <v>905</v>
          </cell>
          <cell r="C1810" t="str">
            <v>10</v>
          </cell>
          <cell r="D1810" t="str">
            <v>04</v>
          </cell>
          <cell r="E1810" t="str">
            <v>795 00 00</v>
          </cell>
          <cell r="F1810" t="str">
            <v>500</v>
          </cell>
        </row>
        <row r="1811">
          <cell r="A1811" t="str">
            <v>Пособия по социальной помощи населению</v>
          </cell>
          <cell r="B1811" t="str">
            <v>903</v>
          </cell>
          <cell r="C1811" t="str">
            <v>10</v>
          </cell>
          <cell r="D1811" t="str">
            <v>04</v>
          </cell>
          <cell r="E1811" t="str">
            <v>795 00 00</v>
          </cell>
          <cell r="F1811" t="str">
            <v>500</v>
          </cell>
        </row>
        <row r="1812">
          <cell r="A1812" t="str">
            <v>Пособия по социальной помощи населению</v>
          </cell>
          <cell r="B1812" t="str">
            <v>902</v>
          </cell>
          <cell r="C1812" t="str">
            <v>10</v>
          </cell>
          <cell r="D1812" t="str">
            <v>04</v>
          </cell>
          <cell r="E1812" t="str">
            <v>795 00 00</v>
          </cell>
          <cell r="F1812" t="str">
            <v>500</v>
          </cell>
        </row>
        <row r="1813">
          <cell r="A1813" t="str">
            <v>Социальные выплаты ОБ</v>
          </cell>
          <cell r="B1813" t="str">
            <v>903</v>
          </cell>
          <cell r="C1813" t="str">
            <v>10</v>
          </cell>
          <cell r="D1813" t="str">
            <v>03</v>
          </cell>
          <cell r="E1813" t="str">
            <v>002 46 00</v>
          </cell>
          <cell r="F1813" t="str">
            <v>005</v>
          </cell>
        </row>
        <row r="1814">
          <cell r="A1814" t="str">
            <v>Субсидии некоммерческим организациям ОБ</v>
          </cell>
          <cell r="B1814" t="str">
            <v>903</v>
          </cell>
          <cell r="C1814" t="str">
            <v>10</v>
          </cell>
          <cell r="D1814" t="str">
            <v>03</v>
          </cell>
          <cell r="E1814" t="str">
            <v>002 46 00</v>
          </cell>
          <cell r="F1814" t="str">
            <v>019</v>
          </cell>
        </row>
        <row r="1815">
          <cell r="A1815" t="str">
            <v>Пособия по социальной помощи населению МБ</v>
          </cell>
          <cell r="B1815" t="str">
            <v>903</v>
          </cell>
          <cell r="C1815" t="str">
            <v>10</v>
          </cell>
          <cell r="D1815" t="str">
            <v>03</v>
          </cell>
          <cell r="E1815" t="str">
            <v>002 46 01</v>
          </cell>
          <cell r="F1815" t="str">
            <v>500</v>
          </cell>
        </row>
        <row r="1816">
          <cell r="A1816" t="str">
            <v>Поступление нефинансовых активов</v>
          </cell>
          <cell r="B1816" t="str">
            <v>903</v>
          </cell>
          <cell r="C1816" t="str">
            <v>10</v>
          </cell>
          <cell r="D1816" t="str">
            <v>03</v>
          </cell>
          <cell r="E1816" t="str">
            <v>002 46 00</v>
          </cell>
          <cell r="F1816" t="str">
            <v>000</v>
          </cell>
        </row>
        <row r="1817">
          <cell r="A1817" t="str">
            <v>Увеличение стоймости основных средств</v>
          </cell>
          <cell r="B1817" t="str">
            <v>903</v>
          </cell>
          <cell r="C1817" t="str">
            <v>10</v>
          </cell>
          <cell r="D1817" t="str">
            <v>03</v>
          </cell>
          <cell r="E1817" t="str">
            <v>002 46 00</v>
          </cell>
          <cell r="F1817" t="str">
            <v>005</v>
          </cell>
        </row>
        <row r="1818">
          <cell r="A1818" t="str">
            <v>Увеличение стоимости материальных запасов</v>
          </cell>
          <cell r="B1818" t="str">
            <v>903</v>
          </cell>
          <cell r="C1818" t="str">
            <v>10</v>
          </cell>
          <cell r="D1818" t="str">
            <v>03</v>
          </cell>
          <cell r="E1818" t="str">
            <v>002 46 01</v>
          </cell>
          <cell r="F1818" t="str">
            <v>500</v>
          </cell>
        </row>
        <row r="1819">
          <cell r="A1819" t="str">
            <v>Субсидии некоммерческим организациям МБ</v>
          </cell>
          <cell r="B1819" t="str">
            <v>903</v>
          </cell>
          <cell r="C1819" t="str">
            <v>10</v>
          </cell>
          <cell r="D1819" t="str">
            <v>03</v>
          </cell>
          <cell r="E1819" t="str">
            <v>002 46 01</v>
          </cell>
          <cell r="F1819" t="str">
            <v>019</v>
          </cell>
        </row>
        <row r="1820">
          <cell r="A1820" t="str">
            <v>Целевые программы муниципальных образований </v>
          </cell>
          <cell r="B1820" t="str">
            <v>902</v>
          </cell>
          <cell r="C1820" t="str">
            <v>10</v>
          </cell>
          <cell r="D1820" t="str">
            <v>03</v>
          </cell>
          <cell r="E1820" t="str">
            <v>795 00 00</v>
          </cell>
          <cell r="F1820" t="str">
            <v>000</v>
          </cell>
        </row>
        <row r="1821">
          <cell r="A1821" t="str">
            <v>Молодым семьям-доступное жилье2007-2019 гг</v>
          </cell>
          <cell r="B1821" t="str">
            <v>902</v>
          </cell>
          <cell r="C1821" t="str">
            <v>10</v>
          </cell>
          <cell r="D1821" t="str">
            <v>03</v>
          </cell>
          <cell r="E1821" t="str">
            <v>795 30 00</v>
          </cell>
          <cell r="F1821" t="str">
            <v>000</v>
          </cell>
        </row>
        <row r="1822">
          <cell r="A1822" t="str">
            <v>Поступление нефинансовых активов</v>
          </cell>
          <cell r="B1822" t="str">
            <v>902</v>
          </cell>
          <cell r="C1822" t="str">
            <v>10</v>
          </cell>
          <cell r="D1822" t="str">
            <v>03</v>
          </cell>
          <cell r="E1822" t="str">
            <v>795 00 00</v>
          </cell>
          <cell r="F1822" t="str">
            <v>500</v>
          </cell>
        </row>
        <row r="1823">
          <cell r="A1823" t="str">
            <v>Выполнение функций органами местного самоуправления</v>
          </cell>
          <cell r="B1823" t="str">
            <v>902</v>
          </cell>
          <cell r="C1823" t="str">
            <v>10</v>
          </cell>
          <cell r="D1823" t="str">
            <v>03</v>
          </cell>
          <cell r="E1823" t="str">
            <v>795 30 00</v>
          </cell>
          <cell r="F1823" t="str">
            <v>500</v>
          </cell>
        </row>
        <row r="1824">
          <cell r="A1824" t="str">
            <v>Охрана семьи и детства</v>
          </cell>
          <cell r="B1824" t="str">
            <v>902</v>
          </cell>
          <cell r="C1824" t="str">
            <v>10</v>
          </cell>
          <cell r="D1824" t="str">
            <v>04</v>
          </cell>
          <cell r="E1824" t="str">
            <v>000 00 00</v>
          </cell>
          <cell r="F1824" t="str">
            <v>000</v>
          </cell>
        </row>
        <row r="1825">
          <cell r="A1825" t="str">
            <v>Руководство и управление в сфере установленных функций органов государственной власти субъектов РФ и органов местного самоуправления</v>
          </cell>
          <cell r="B1825" t="str">
            <v>902</v>
          </cell>
          <cell r="C1825" t="str">
            <v>10</v>
          </cell>
          <cell r="D1825" t="str">
            <v>04</v>
          </cell>
          <cell r="E1825" t="str">
            <v>002 00 00</v>
          </cell>
          <cell r="F1825" t="str">
            <v>000</v>
          </cell>
        </row>
        <row r="1826">
          <cell r="A1826" t="str">
            <v>Осуществление областных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</v>
          </cell>
          <cell r="B1826" t="str">
            <v>902</v>
          </cell>
          <cell r="C1826" t="str">
            <v>10</v>
          </cell>
          <cell r="D1826" t="str">
            <v>04</v>
          </cell>
          <cell r="E1826" t="str">
            <v>002 48 00</v>
          </cell>
          <cell r="F1826" t="str">
            <v>000</v>
          </cell>
        </row>
        <row r="1827">
          <cell r="A1827" t="str">
            <v>Содержание и обеспечение деятельности муниципальных служащих, осуществляющих областные государственные полномочия по обеспечению детей-сирот и детей, оставшихся без попечения родителей, лиц из числа детей-сирот и детей, оставшихся без попечения родителей,</v>
          </cell>
          <cell r="B1827" t="str">
            <v>902</v>
          </cell>
          <cell r="C1827" t="str">
            <v>10</v>
          </cell>
          <cell r="D1827" t="str">
            <v>04</v>
          </cell>
          <cell r="E1827" t="str">
            <v>002 48 01</v>
          </cell>
          <cell r="F1827" t="str">
            <v>000</v>
          </cell>
        </row>
        <row r="1828">
          <cell r="A1828" t="str">
            <v>Фонд компенсаций</v>
          </cell>
          <cell r="B1828" t="str">
            <v>902</v>
          </cell>
          <cell r="C1828" t="str">
            <v>10</v>
          </cell>
          <cell r="D1828" t="str">
            <v>04</v>
          </cell>
          <cell r="E1828" t="str">
            <v>002 48 01</v>
          </cell>
          <cell r="F1828" t="str">
            <v>009</v>
          </cell>
        </row>
        <row r="1829">
          <cell r="A1829" t="str">
            <v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</v>
          </cell>
          <cell r="B1829" t="str">
            <v>902</v>
          </cell>
          <cell r="C1829" t="str">
            <v>10</v>
          </cell>
          <cell r="D1829" t="str">
            <v>04</v>
          </cell>
          <cell r="E1829" t="str">
            <v>002 48 02</v>
          </cell>
          <cell r="F1829" t="str">
            <v>000</v>
          </cell>
        </row>
        <row r="1830">
          <cell r="B1830" t="str">
            <v>902</v>
          </cell>
          <cell r="C1830" t="str">
            <v>10</v>
          </cell>
          <cell r="D1830" t="str">
            <v>04</v>
          </cell>
        </row>
        <row r="1831">
          <cell r="A1831" t="str">
            <v>Фонд компенсаций</v>
          </cell>
          <cell r="B1831" t="str">
            <v>902</v>
          </cell>
          <cell r="C1831" t="str">
            <v>10</v>
          </cell>
          <cell r="D1831" t="str">
            <v>04</v>
          </cell>
          <cell r="E1831" t="str">
            <v>002 48 02</v>
          </cell>
          <cell r="F1831" t="str">
            <v>009</v>
          </cell>
        </row>
        <row r="1832">
          <cell r="A1832" t="str">
            <v>Другие вопросы в области социальной политики</v>
          </cell>
          <cell r="B1832" t="str">
            <v>902</v>
          </cell>
          <cell r="C1832" t="str">
            <v>10</v>
          </cell>
          <cell r="D1832" t="str">
            <v>06</v>
          </cell>
          <cell r="E1832" t="str">
            <v>000 00 00</v>
          </cell>
          <cell r="F1832" t="str">
            <v>000 </v>
          </cell>
        </row>
        <row r="1833">
          <cell r="A1833" t="str">
            <v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v>
          </cell>
          <cell r="B1833" t="str">
            <v>902</v>
          </cell>
          <cell r="C1833" t="str">
            <v>10</v>
          </cell>
          <cell r="D1833" t="str">
            <v>06</v>
          </cell>
          <cell r="E1833" t="str">
            <v>002 00 00</v>
          </cell>
          <cell r="F1833" t="str">
            <v>000</v>
          </cell>
        </row>
        <row r="1834">
          <cell r="A1834" t="str">
            <v>Центральный аппарат</v>
          </cell>
          <cell r="B1834" t="str">
            <v>902</v>
          </cell>
          <cell r="C1834" t="str">
            <v>10</v>
          </cell>
          <cell r="D1834" t="str">
            <v>06</v>
          </cell>
          <cell r="E1834" t="str">
            <v>002 00 00</v>
          </cell>
          <cell r="F1834" t="str">
            <v>000</v>
          </cell>
        </row>
        <row r="1835">
          <cell r="A1835" t="str">
            <v>Выполнение функций органами местного самоуправления</v>
          </cell>
          <cell r="B1835" t="str">
            <v>902</v>
          </cell>
          <cell r="C1835" t="str">
            <v>10</v>
          </cell>
          <cell r="D1835" t="str">
            <v>06</v>
          </cell>
          <cell r="E1835" t="str">
            <v>002 00 00</v>
          </cell>
          <cell r="F1835" t="str">
            <v>500</v>
          </cell>
        </row>
        <row r="1836">
          <cell r="A1836" t="str">
            <v>Расходы</v>
          </cell>
          <cell r="B1836" t="str">
            <v>902</v>
          </cell>
          <cell r="C1836" t="str">
            <v>10</v>
          </cell>
          <cell r="D1836" t="str">
            <v>06</v>
          </cell>
          <cell r="E1836" t="str">
            <v>002 00 00</v>
          </cell>
          <cell r="F1836" t="str">
            <v>500</v>
          </cell>
        </row>
        <row r="1837">
          <cell r="A1837" t="str">
            <v>Оплата труда и начисления на выплаты по оплате труда</v>
          </cell>
          <cell r="B1837" t="str">
            <v>902</v>
          </cell>
          <cell r="C1837" t="str">
            <v>10</v>
          </cell>
          <cell r="D1837" t="str">
            <v>06</v>
          </cell>
          <cell r="E1837" t="str">
            <v>002 00 00</v>
          </cell>
          <cell r="F1837" t="str">
            <v>500</v>
          </cell>
        </row>
        <row r="1838">
          <cell r="A1838" t="str">
            <v>Заработная плата</v>
          </cell>
          <cell r="B1838" t="str">
            <v>902</v>
          </cell>
          <cell r="C1838" t="str">
            <v>10</v>
          </cell>
          <cell r="D1838" t="str">
            <v>06</v>
          </cell>
          <cell r="E1838" t="str">
            <v>002 00 00</v>
          </cell>
          <cell r="F1838" t="str">
            <v>500</v>
          </cell>
        </row>
        <row r="1839">
          <cell r="A1839" t="str">
            <v>Прочие выплаты</v>
          </cell>
          <cell r="B1839" t="str">
            <v>902</v>
          </cell>
          <cell r="C1839" t="str">
            <v>10</v>
          </cell>
          <cell r="D1839" t="str">
            <v>06</v>
          </cell>
          <cell r="E1839" t="str">
            <v>002 00 00</v>
          </cell>
          <cell r="F1839" t="str">
            <v>500</v>
          </cell>
        </row>
        <row r="1840">
          <cell r="A1840" t="str">
            <v>Начисления на выплаты по оплате труда</v>
          </cell>
          <cell r="B1840" t="str">
            <v>902</v>
          </cell>
          <cell r="C1840" t="str">
            <v>10</v>
          </cell>
          <cell r="D1840" t="str">
            <v>06</v>
          </cell>
          <cell r="E1840" t="str">
            <v>002 00 00</v>
          </cell>
          <cell r="F1840" t="str">
            <v>500</v>
          </cell>
        </row>
        <row r="1841">
          <cell r="A1841" t="str">
            <v>Приобретение работ, услуг</v>
          </cell>
          <cell r="B1841" t="str">
            <v>902</v>
          </cell>
          <cell r="C1841" t="str">
            <v>10</v>
          </cell>
          <cell r="D1841" t="str">
            <v>06</v>
          </cell>
          <cell r="E1841" t="str">
            <v>002 00 00</v>
          </cell>
          <cell r="F1841" t="str">
            <v>500</v>
          </cell>
        </row>
        <row r="1842">
          <cell r="A1842" t="str">
            <v>Услуги связи</v>
          </cell>
          <cell r="B1842" t="str">
            <v>902</v>
          </cell>
          <cell r="C1842" t="str">
            <v>10</v>
          </cell>
          <cell r="D1842" t="str">
            <v>06</v>
          </cell>
          <cell r="E1842" t="str">
            <v>002 00 00</v>
          </cell>
          <cell r="F1842" t="str">
            <v>500</v>
          </cell>
        </row>
        <row r="1843">
          <cell r="A1843" t="str">
            <v>Транспортные услуги </v>
          </cell>
          <cell r="B1843" t="str">
            <v>902</v>
          </cell>
          <cell r="C1843" t="str">
            <v>10</v>
          </cell>
          <cell r="D1843" t="str">
            <v>06</v>
          </cell>
          <cell r="E1843" t="str">
            <v>002 00 00</v>
          </cell>
          <cell r="F1843" t="str">
            <v>500</v>
          </cell>
        </row>
        <row r="1844">
          <cell r="A1844" t="str">
            <v>Коммунальные услуги</v>
          </cell>
          <cell r="B1844" t="str">
            <v>902</v>
          </cell>
          <cell r="C1844" t="str">
            <v>10</v>
          </cell>
          <cell r="D1844" t="str">
            <v>06</v>
          </cell>
          <cell r="E1844" t="str">
            <v>002 04 00</v>
          </cell>
          <cell r="F1844" t="str">
            <v>500</v>
          </cell>
        </row>
        <row r="1845">
          <cell r="A1845" t="str">
            <v>Арендная плата за пользование имуществом</v>
          </cell>
          <cell r="B1845" t="str">
            <v>902</v>
          </cell>
          <cell r="C1845" t="str">
            <v>10</v>
          </cell>
          <cell r="D1845" t="str">
            <v>06</v>
          </cell>
          <cell r="E1845" t="str">
            <v>002 00 00</v>
          </cell>
          <cell r="F1845" t="str">
            <v>500</v>
          </cell>
        </row>
        <row r="1846">
          <cell r="A1846" t="str">
            <v>Работы, услуги по содержанию имущества</v>
          </cell>
          <cell r="B1846" t="str">
            <v>902</v>
          </cell>
          <cell r="C1846" t="str">
            <v>10</v>
          </cell>
          <cell r="D1846" t="str">
            <v>06</v>
          </cell>
          <cell r="E1846" t="str">
            <v>002 00 00</v>
          </cell>
          <cell r="F1846" t="str">
            <v>500</v>
          </cell>
        </row>
        <row r="1847">
          <cell r="A1847" t="str">
            <v>Прочие работы, услуги</v>
          </cell>
          <cell r="B1847" t="str">
            <v>902</v>
          </cell>
          <cell r="C1847" t="str">
            <v>10</v>
          </cell>
          <cell r="D1847" t="str">
            <v>06</v>
          </cell>
          <cell r="E1847" t="str">
            <v>002 00 00</v>
          </cell>
          <cell r="F1847" t="str">
            <v>500</v>
          </cell>
        </row>
        <row r="1848">
          <cell r="A1848" t="str">
            <v>Социальное обеспечение</v>
          </cell>
          <cell r="B1848" t="str">
            <v>902</v>
          </cell>
          <cell r="C1848" t="str">
            <v>10</v>
          </cell>
          <cell r="D1848" t="str">
            <v>06</v>
          </cell>
          <cell r="E1848" t="str">
            <v>002 00 00</v>
          </cell>
          <cell r="F1848" t="str">
            <v>500</v>
          </cell>
        </row>
        <row r="1849">
          <cell r="A1849" t="str">
            <v>Пособия по социальной помощи населению</v>
          </cell>
          <cell r="B1849" t="str">
            <v>902</v>
          </cell>
          <cell r="C1849" t="str">
            <v>10</v>
          </cell>
          <cell r="D1849" t="str">
            <v>06</v>
          </cell>
          <cell r="E1849" t="str">
            <v>002 00 00</v>
          </cell>
          <cell r="F1849" t="str">
            <v>500</v>
          </cell>
        </row>
        <row r="1850">
          <cell r="A1850" t="str">
            <v>Прочие расходы</v>
          </cell>
          <cell r="B1850" t="str">
            <v>902</v>
          </cell>
          <cell r="C1850" t="str">
            <v>10</v>
          </cell>
          <cell r="D1850" t="str">
            <v>06</v>
          </cell>
          <cell r="E1850" t="str">
            <v>002 00 00</v>
          </cell>
          <cell r="F1850" t="str">
            <v>500</v>
          </cell>
        </row>
        <row r="1851">
          <cell r="A1851" t="str">
            <v>Поступление нефинансовых активов</v>
          </cell>
          <cell r="B1851" t="str">
            <v>902</v>
          </cell>
          <cell r="C1851" t="str">
            <v>10</v>
          </cell>
          <cell r="D1851" t="str">
            <v>06</v>
          </cell>
          <cell r="E1851" t="str">
            <v>002 00 00</v>
          </cell>
          <cell r="F1851" t="str">
            <v>500</v>
          </cell>
        </row>
        <row r="1852">
          <cell r="A1852" t="str">
            <v>Увеличение стоимости основных средств</v>
          </cell>
          <cell r="B1852" t="str">
            <v>902</v>
          </cell>
          <cell r="C1852" t="str">
            <v>10</v>
          </cell>
          <cell r="D1852" t="str">
            <v>06</v>
          </cell>
          <cell r="E1852" t="str">
            <v>002 00 00</v>
          </cell>
          <cell r="F1852" t="str">
            <v>500</v>
          </cell>
        </row>
        <row r="1853">
          <cell r="A1853" t="str">
            <v>Увеличение стоимости нематериальных активов</v>
          </cell>
          <cell r="B1853" t="str">
            <v>902</v>
          </cell>
          <cell r="C1853" t="str">
            <v>10</v>
          </cell>
          <cell r="D1853" t="str">
            <v>06</v>
          </cell>
          <cell r="E1853" t="str">
            <v>002 00 00</v>
          </cell>
          <cell r="F1853" t="str">
            <v>500</v>
          </cell>
        </row>
        <row r="1854">
          <cell r="A1854" t="str">
            <v>Увеличение стоимости материальных запасов</v>
          </cell>
          <cell r="B1854" t="str">
            <v>902</v>
          </cell>
          <cell r="C1854" t="str">
            <v>10</v>
          </cell>
          <cell r="D1854" t="str">
            <v>06</v>
          </cell>
          <cell r="E1854" t="str">
            <v>002 00 00</v>
          </cell>
          <cell r="F1854" t="str">
            <v>500</v>
          </cell>
        </row>
        <row r="1855">
          <cell r="A1855" t="str">
            <v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v>
          </cell>
          <cell r="B1855" t="str">
            <v>902</v>
          </cell>
          <cell r="C1855" t="str">
            <v>10</v>
          </cell>
          <cell r="D1855" t="str">
            <v>06</v>
          </cell>
          <cell r="E1855" t="str">
            <v>002 41 00</v>
          </cell>
          <cell r="F1855" t="str">
            <v>000</v>
          </cell>
        </row>
        <row r="1856">
          <cell r="A1856" t="str">
            <v>Центральный аппарат</v>
          </cell>
          <cell r="B1856" t="str">
            <v>902</v>
          </cell>
          <cell r="C1856" t="str">
            <v>10</v>
          </cell>
          <cell r="D1856" t="str">
            <v>06</v>
          </cell>
          <cell r="E1856" t="str">
            <v>002 41 00</v>
          </cell>
          <cell r="F1856" t="str">
            <v>000</v>
          </cell>
        </row>
        <row r="1857">
          <cell r="A1857" t="str">
            <v>Выполнение функций органами местного самоуправления</v>
          </cell>
          <cell r="B1857" t="str">
            <v>902</v>
          </cell>
          <cell r="C1857" t="str">
            <v>10</v>
          </cell>
          <cell r="D1857" t="str">
            <v>06</v>
          </cell>
          <cell r="E1857" t="str">
            <v>002 41 00</v>
          </cell>
          <cell r="F1857" t="str">
            <v>500</v>
          </cell>
        </row>
        <row r="1858">
          <cell r="A1858" t="str">
            <v>Расходы</v>
          </cell>
          <cell r="B1858" t="str">
            <v>902</v>
          </cell>
          <cell r="C1858" t="str">
            <v>10</v>
          </cell>
          <cell r="D1858" t="str">
            <v>06</v>
          </cell>
          <cell r="E1858" t="str">
            <v>002 41 00</v>
          </cell>
          <cell r="F1858" t="str">
            <v>500</v>
          </cell>
        </row>
        <row r="1859">
          <cell r="A1859" t="str">
            <v>Оплата труда и начисления на выплаты по оплате труда</v>
          </cell>
          <cell r="B1859" t="str">
            <v>902</v>
          </cell>
          <cell r="C1859" t="str">
            <v>10</v>
          </cell>
          <cell r="D1859" t="str">
            <v>06</v>
          </cell>
          <cell r="E1859" t="str">
            <v>002 41 00</v>
          </cell>
          <cell r="F1859" t="str">
            <v>500</v>
          </cell>
        </row>
        <row r="1860">
          <cell r="A1860" t="str">
            <v>Заработная плата</v>
          </cell>
          <cell r="B1860" t="str">
            <v>902</v>
          </cell>
          <cell r="C1860" t="str">
            <v>10</v>
          </cell>
          <cell r="D1860" t="str">
            <v>06</v>
          </cell>
          <cell r="E1860" t="str">
            <v>002 41 00</v>
          </cell>
          <cell r="F1860" t="str">
            <v>500</v>
          </cell>
        </row>
        <row r="1861">
          <cell r="A1861" t="str">
            <v>Прочие выплаты</v>
          </cell>
          <cell r="B1861" t="str">
            <v>902</v>
          </cell>
          <cell r="C1861" t="str">
            <v>10</v>
          </cell>
          <cell r="D1861" t="str">
            <v>06</v>
          </cell>
          <cell r="E1861" t="str">
            <v>002 41 00</v>
          </cell>
          <cell r="F1861" t="str">
            <v>500</v>
          </cell>
        </row>
        <row r="1862">
          <cell r="A1862" t="str">
            <v>Начисления на выплаты по оплате труда</v>
          </cell>
          <cell r="B1862" t="str">
            <v>902</v>
          </cell>
          <cell r="C1862" t="str">
            <v>10</v>
          </cell>
          <cell r="D1862" t="str">
            <v>06</v>
          </cell>
          <cell r="E1862" t="str">
            <v>002 41 00</v>
          </cell>
          <cell r="F1862" t="str">
            <v>500</v>
          </cell>
        </row>
        <row r="1863">
          <cell r="A1863" t="str">
            <v>Приобретение работ, услуг</v>
          </cell>
          <cell r="B1863" t="str">
            <v>902</v>
          </cell>
          <cell r="C1863" t="str">
            <v>10</v>
          </cell>
          <cell r="D1863" t="str">
            <v>06</v>
          </cell>
          <cell r="E1863" t="str">
            <v>002 41 00</v>
          </cell>
          <cell r="F1863" t="str">
            <v>500</v>
          </cell>
        </row>
        <row r="1864">
          <cell r="A1864" t="str">
            <v>Услуги связи</v>
          </cell>
          <cell r="B1864" t="str">
            <v>902</v>
          </cell>
          <cell r="C1864" t="str">
            <v>10</v>
          </cell>
          <cell r="D1864" t="str">
            <v>06</v>
          </cell>
          <cell r="E1864" t="str">
            <v>002 41 00</v>
          </cell>
          <cell r="F1864" t="str">
            <v>500</v>
          </cell>
        </row>
        <row r="1865">
          <cell r="A1865" t="str">
            <v>Транспортные услуги </v>
          </cell>
          <cell r="B1865" t="str">
            <v>902</v>
          </cell>
          <cell r="C1865" t="str">
            <v>10</v>
          </cell>
          <cell r="D1865" t="str">
            <v>06</v>
          </cell>
          <cell r="E1865" t="str">
            <v>002 41 00</v>
          </cell>
          <cell r="F1865" t="str">
            <v>500</v>
          </cell>
        </row>
        <row r="1866">
          <cell r="A1866" t="str">
            <v>Коммунальные услуги</v>
          </cell>
          <cell r="B1866" t="str">
            <v>902</v>
          </cell>
          <cell r="C1866" t="str">
            <v>10</v>
          </cell>
          <cell r="D1866" t="str">
            <v>06</v>
          </cell>
          <cell r="E1866" t="str">
            <v>002 41 00</v>
          </cell>
          <cell r="F1866" t="str">
            <v>500</v>
          </cell>
        </row>
        <row r="1867">
          <cell r="A1867" t="str">
            <v>Арендная плата за пользование имуществом</v>
          </cell>
          <cell r="B1867" t="str">
            <v>902</v>
          </cell>
          <cell r="C1867" t="str">
            <v>10</v>
          </cell>
          <cell r="D1867" t="str">
            <v>06</v>
          </cell>
          <cell r="E1867" t="str">
            <v>002 41 00</v>
          </cell>
          <cell r="F1867" t="str">
            <v>500</v>
          </cell>
        </row>
        <row r="1868">
          <cell r="A1868" t="str">
            <v>Работы, услуги по содержанию имущества</v>
          </cell>
          <cell r="B1868" t="str">
            <v>902</v>
          </cell>
          <cell r="C1868" t="str">
            <v>10</v>
          </cell>
          <cell r="D1868" t="str">
            <v>06</v>
          </cell>
          <cell r="E1868" t="str">
            <v>002 41 00</v>
          </cell>
          <cell r="F1868" t="str">
            <v>500</v>
          </cell>
        </row>
        <row r="1869">
          <cell r="A1869" t="str">
            <v>Прочие работы, услуги</v>
          </cell>
          <cell r="B1869" t="str">
            <v>902</v>
          </cell>
          <cell r="C1869" t="str">
            <v>10</v>
          </cell>
          <cell r="D1869" t="str">
            <v>06</v>
          </cell>
          <cell r="E1869" t="str">
            <v>002 41 00</v>
          </cell>
          <cell r="F1869" t="str">
            <v>500</v>
          </cell>
        </row>
        <row r="1870">
          <cell r="A1870" t="str">
            <v>Социальное обеспечение</v>
          </cell>
          <cell r="B1870" t="str">
            <v>902</v>
          </cell>
          <cell r="C1870" t="str">
            <v>10</v>
          </cell>
          <cell r="D1870" t="str">
            <v>06</v>
          </cell>
          <cell r="E1870" t="str">
            <v>002 41 00</v>
          </cell>
          <cell r="F1870" t="str">
            <v>500</v>
          </cell>
        </row>
        <row r="1871">
          <cell r="A1871" t="str">
            <v>Пособия по социальной помощи населению</v>
          </cell>
          <cell r="B1871" t="str">
            <v>902</v>
          </cell>
          <cell r="C1871" t="str">
            <v>10</v>
          </cell>
          <cell r="D1871" t="str">
            <v>06</v>
          </cell>
          <cell r="E1871" t="str">
            <v>002 41 00</v>
          </cell>
          <cell r="F1871" t="str">
            <v>500</v>
          </cell>
        </row>
        <row r="1872">
          <cell r="A1872" t="str">
            <v>Прочие расходы</v>
          </cell>
          <cell r="B1872" t="str">
            <v>902</v>
          </cell>
          <cell r="C1872" t="str">
            <v>10</v>
          </cell>
          <cell r="D1872" t="str">
            <v>06</v>
          </cell>
          <cell r="E1872" t="str">
            <v>002 41 00</v>
          </cell>
          <cell r="F1872" t="str">
            <v>500</v>
          </cell>
        </row>
        <row r="1873">
          <cell r="A1873" t="str">
            <v>Поступление нефинансовых активов</v>
          </cell>
          <cell r="B1873" t="str">
            <v>902</v>
          </cell>
          <cell r="C1873" t="str">
            <v>10</v>
          </cell>
          <cell r="D1873" t="str">
            <v>06</v>
          </cell>
          <cell r="E1873" t="str">
            <v>002 41 00</v>
          </cell>
          <cell r="F1873" t="str">
            <v>500</v>
          </cell>
        </row>
        <row r="1874">
          <cell r="A1874" t="str">
            <v>Увеличение стоимости основных средств</v>
          </cell>
          <cell r="B1874" t="str">
            <v>902</v>
          </cell>
          <cell r="C1874" t="str">
            <v>10</v>
          </cell>
          <cell r="D1874" t="str">
            <v>06</v>
          </cell>
          <cell r="E1874" t="str">
            <v>002 41 00</v>
          </cell>
          <cell r="F1874" t="str">
            <v>500</v>
          </cell>
        </row>
        <row r="1875">
          <cell r="A1875" t="str">
            <v>Увеличение стоимости нематериальных активов</v>
          </cell>
          <cell r="B1875" t="str">
            <v>902</v>
          </cell>
          <cell r="C1875" t="str">
            <v>10</v>
          </cell>
          <cell r="D1875" t="str">
            <v>06</v>
          </cell>
          <cell r="E1875" t="str">
            <v>002 41 00</v>
          </cell>
          <cell r="F1875" t="str">
            <v>500</v>
          </cell>
        </row>
        <row r="1876">
          <cell r="A1876" t="str">
            <v>Увеличение стоимости материальных запасов</v>
          </cell>
          <cell r="B1876" t="str">
            <v>902</v>
          </cell>
          <cell r="C1876" t="str">
            <v>10</v>
          </cell>
          <cell r="D1876" t="str">
            <v>06</v>
          </cell>
          <cell r="E1876" t="str">
            <v>002 41 00</v>
          </cell>
          <cell r="F1876" t="str">
            <v>500</v>
          </cell>
        </row>
        <row r="1877">
          <cell r="A1877" t="str">
            <v>Целевые программы муниципальных образований </v>
          </cell>
          <cell r="C1877" t="str">
            <v>10</v>
          </cell>
          <cell r="D1877" t="str">
            <v>06</v>
          </cell>
          <cell r="E1877" t="str">
            <v>795 00 00</v>
          </cell>
          <cell r="F1877" t="str">
            <v>000</v>
          </cell>
        </row>
        <row r="1878">
          <cell r="A1878" t="str">
            <v>Выполнение функций органами местного самоуправления</v>
          </cell>
          <cell r="C1878" t="str">
            <v>10</v>
          </cell>
          <cell r="D1878" t="str">
            <v>06</v>
          </cell>
          <cell r="E1878" t="str">
            <v>795 00 00</v>
          </cell>
          <cell r="F1878" t="str">
            <v>500</v>
          </cell>
        </row>
        <row r="1879">
          <cell r="A1879" t="str">
            <v>«Комплексные меры противодействия злоупотребления наркотическими средствами и психотропными веществами» на 2011-2013 г."</v>
          </cell>
          <cell r="B1879" t="str">
            <v>903</v>
          </cell>
          <cell r="C1879" t="str">
            <v>10</v>
          </cell>
          <cell r="D1879" t="str">
            <v>06</v>
          </cell>
          <cell r="E1879" t="str">
            <v>795 02 00</v>
          </cell>
          <cell r="F1879" t="str">
            <v>500</v>
          </cell>
        </row>
        <row r="1880">
          <cell r="B1880" t="str">
            <v>904</v>
          </cell>
          <cell r="C1880" t="str">
            <v>10</v>
          </cell>
          <cell r="D1880" t="str">
            <v>06</v>
          </cell>
          <cell r="E1880" t="str">
            <v>795 02 00</v>
          </cell>
          <cell r="F1880" t="str">
            <v>500</v>
          </cell>
        </row>
        <row r="1881">
          <cell r="B1881" t="str">
            <v>905</v>
          </cell>
          <cell r="C1881" t="str">
            <v>10</v>
          </cell>
          <cell r="D1881" t="str">
            <v>06</v>
          </cell>
          <cell r="E1881" t="str">
            <v>795 02 00</v>
          </cell>
          <cell r="F1881" t="str">
            <v>500</v>
          </cell>
        </row>
        <row r="1882">
          <cell r="A1882" t="str">
            <v>Празднование 67 -й годовщины  Победы и Великой отечественной войне на 2012 г"</v>
          </cell>
          <cell r="B1882" t="str">
            <v>902</v>
          </cell>
          <cell r="C1882" t="str">
            <v>10</v>
          </cell>
          <cell r="D1882" t="str">
            <v>06</v>
          </cell>
          <cell r="E1882" t="str">
            <v>795 20 00</v>
          </cell>
          <cell r="F1882" t="str">
            <v>500</v>
          </cell>
        </row>
        <row r="1883">
          <cell r="B1883" t="str">
            <v>905</v>
          </cell>
          <cell r="C1883" t="str">
            <v>10</v>
          </cell>
          <cell r="D1883" t="str">
            <v>06</v>
          </cell>
          <cell r="E1883" t="str">
            <v>795 20 00</v>
          </cell>
          <cell r="F1883" t="str">
            <v>500</v>
          </cell>
        </row>
        <row r="1884">
          <cell r="A1884" t="str">
            <v>Профилактика безнадзорности и  несовершеннолетних в Усольском районе  на 2011 -2013гг</v>
          </cell>
          <cell r="B1884" t="str">
            <v>903</v>
          </cell>
          <cell r="C1884" t="str">
            <v>10</v>
          </cell>
          <cell r="D1884" t="str">
            <v>06</v>
          </cell>
          <cell r="E1884" t="str">
            <v>795 22 00</v>
          </cell>
          <cell r="F1884" t="str">
            <v>500</v>
          </cell>
        </row>
        <row r="1885">
          <cell r="B1885" t="str">
            <v>905</v>
          </cell>
          <cell r="C1885" t="str">
            <v>10</v>
          </cell>
          <cell r="D1885" t="str">
            <v>06</v>
          </cell>
          <cell r="E1885" t="str">
            <v>795 22 00</v>
          </cell>
          <cell r="F1885" t="str">
            <v>500</v>
          </cell>
        </row>
        <row r="1886">
          <cell r="A1886" t="str">
            <v>Обеспечение жильем молодых семей Усольского района на 2012-2019гг.</v>
          </cell>
          <cell r="B1886" t="str">
            <v>905</v>
          </cell>
          <cell r="C1886" t="str">
            <v>10</v>
          </cell>
          <cell r="D1886" t="str">
            <v>06</v>
          </cell>
          <cell r="E1886" t="str">
            <v>795 24 00</v>
          </cell>
          <cell r="F1886" t="str">
            <v>500</v>
          </cell>
        </row>
        <row r="1887">
          <cell r="A1887" t="str">
            <v>Социально - экономическая поддержка молодых специалистов работающих в учреждениях образования, здравоохранения и культыры Усольского района на 2012-2014гг </v>
          </cell>
          <cell r="B1887" t="str">
            <v>903</v>
          </cell>
          <cell r="C1887" t="str">
            <v>10</v>
          </cell>
          <cell r="D1887" t="str">
            <v>06</v>
          </cell>
          <cell r="E1887" t="str">
            <v>795 34 00</v>
          </cell>
          <cell r="F1887" t="str">
            <v>500</v>
          </cell>
        </row>
        <row r="1888">
          <cell r="B1888" t="str">
            <v>905</v>
          </cell>
          <cell r="C1888" t="str">
            <v>10</v>
          </cell>
          <cell r="D1888" t="str">
            <v>06</v>
          </cell>
          <cell r="E1888" t="str">
            <v>795 34 00</v>
          </cell>
          <cell r="F1888" t="str">
            <v>500</v>
          </cell>
        </row>
        <row r="1889">
          <cell r="A1889" t="str">
            <v>"Старшее поколение на 2011 г"</v>
          </cell>
          <cell r="B1889" t="str">
            <v>902</v>
          </cell>
          <cell r="C1889" t="str">
            <v>10</v>
          </cell>
          <cell r="D1889" t="str">
            <v>06</v>
          </cell>
          <cell r="E1889" t="str">
            <v>795 27 00</v>
          </cell>
          <cell r="F1889" t="str">
            <v>500</v>
          </cell>
        </row>
        <row r="1890">
          <cell r="A1890" t="str">
            <v>Поступление нефинансовых активов</v>
          </cell>
          <cell r="B1890" t="str">
            <v>902</v>
          </cell>
          <cell r="C1890" t="str">
            <v>10</v>
          </cell>
          <cell r="D1890" t="str">
            <v>06</v>
          </cell>
          <cell r="E1890" t="str">
            <v>795 27 00</v>
          </cell>
          <cell r="F1890" t="str">
            <v>500</v>
          </cell>
        </row>
        <row r="1891">
          <cell r="A1891" t="str">
            <v>Увеличение стоимости материальных запасов </v>
          </cell>
          <cell r="B1891" t="str">
            <v>902</v>
          </cell>
          <cell r="C1891" t="str">
            <v>10</v>
          </cell>
          <cell r="D1891" t="str">
            <v>06</v>
          </cell>
          <cell r="E1891" t="str">
            <v>795 27 00</v>
          </cell>
          <cell r="F1891" t="str">
            <v>500</v>
          </cell>
        </row>
        <row r="1892">
          <cell r="B1892" t="str">
            <v>903</v>
          </cell>
          <cell r="C1892" t="str">
            <v>10</v>
          </cell>
          <cell r="D1892" t="str">
            <v>06</v>
          </cell>
          <cell r="E1892" t="str">
            <v>795 20 00</v>
          </cell>
          <cell r="F1892" t="str">
            <v>500</v>
          </cell>
        </row>
        <row r="1893">
          <cell r="B1893" t="str">
            <v>905</v>
          </cell>
          <cell r="C1893" t="str">
            <v>10</v>
          </cell>
          <cell r="D1893" t="str">
            <v>06</v>
          </cell>
          <cell r="E1893" t="str">
            <v>795 22 00</v>
          </cell>
          <cell r="F1893" t="str">
            <v>500</v>
          </cell>
        </row>
        <row r="1894">
          <cell r="B1894" t="str">
            <v>905</v>
          </cell>
          <cell r="C1894" t="str">
            <v>10</v>
          </cell>
          <cell r="D1894" t="str">
            <v>06</v>
          </cell>
          <cell r="E1894" t="str">
            <v>795 20 00</v>
          </cell>
          <cell r="F1894" t="str">
            <v>500</v>
          </cell>
        </row>
        <row r="1895">
          <cell r="A1895" t="str">
            <v>Целевые программы муниципальных образований "Комплексные меры злаупотребления наркотиками"</v>
          </cell>
          <cell r="C1895" t="str">
            <v>10</v>
          </cell>
          <cell r="D1895" t="str">
            <v>06</v>
          </cell>
          <cell r="E1895" t="str">
            <v>795 00 00</v>
          </cell>
          <cell r="F1895" t="str">
            <v>000</v>
          </cell>
        </row>
        <row r="1896">
          <cell r="A1896" t="str">
            <v>Выполнение функций органами местного самоуправления</v>
          </cell>
          <cell r="C1896" t="str">
            <v>10</v>
          </cell>
          <cell r="D1896" t="str">
            <v>06</v>
          </cell>
          <cell r="E1896" t="str">
            <v>795 00 00</v>
          </cell>
          <cell r="F1896" t="str">
            <v>500</v>
          </cell>
        </row>
        <row r="1897">
          <cell r="A1897" t="str">
            <v>Расходы</v>
          </cell>
          <cell r="C1897" t="str">
            <v>10</v>
          </cell>
          <cell r="D1897" t="str">
            <v>06</v>
          </cell>
          <cell r="E1897" t="str">
            <v>795 02 00</v>
          </cell>
          <cell r="F1897" t="str">
            <v>500</v>
          </cell>
        </row>
        <row r="1898">
          <cell r="A1898" t="str">
            <v>Приобретение работ, услуг</v>
          </cell>
          <cell r="C1898" t="str">
            <v>10</v>
          </cell>
          <cell r="D1898" t="str">
            <v>06</v>
          </cell>
          <cell r="E1898" t="str">
            <v>795 02 00</v>
          </cell>
          <cell r="F1898" t="str">
            <v>500</v>
          </cell>
        </row>
        <row r="1899">
          <cell r="A1899" t="str">
            <v>Почие услуги</v>
          </cell>
          <cell r="B1899" t="str">
            <v>902</v>
          </cell>
          <cell r="C1899" t="str">
            <v>10</v>
          </cell>
          <cell r="D1899" t="str">
            <v>06</v>
          </cell>
          <cell r="E1899" t="str">
            <v>795 02 00</v>
          </cell>
          <cell r="F1899" t="str">
            <v>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37"/>
  <sheetViews>
    <sheetView tabSelected="1" view="pageBreakPreview" zoomScaleNormal="95" zoomScaleSheetLayoutView="100" zoomScalePageLayoutView="0" workbookViewId="0" topLeftCell="A1">
      <selection activeCell="R4" sqref="R4"/>
    </sheetView>
  </sheetViews>
  <sheetFormatPr defaultColWidth="9.140625" defaultRowHeight="12.75"/>
  <cols>
    <col min="1" max="1" width="55.7109375" style="1" customWidth="1"/>
    <col min="2" max="2" width="7.00390625" style="2" customWidth="1"/>
    <col min="3" max="3" width="5.00390625" style="3" customWidth="1"/>
    <col min="4" max="4" width="4.7109375" style="3" customWidth="1"/>
    <col min="5" max="5" width="9.57421875" style="3" customWidth="1"/>
    <col min="6" max="6" width="5.8515625" style="3" customWidth="1"/>
    <col min="7" max="7" width="15.140625" style="6" hidden="1" customWidth="1"/>
    <col min="8" max="9" width="0.13671875" style="6" hidden="1" customWidth="1"/>
    <col min="10" max="10" width="15.28125" style="6" hidden="1" customWidth="1"/>
    <col min="11" max="11" width="0.13671875" style="6" hidden="1" customWidth="1"/>
    <col min="12" max="12" width="13.8515625" style="6" hidden="1" customWidth="1"/>
    <col min="13" max="13" width="14.28125" style="6" hidden="1" customWidth="1"/>
    <col min="14" max="16" width="14.421875" style="6" hidden="1" customWidth="1"/>
    <col min="17" max="17" width="14.57421875" style="6" customWidth="1"/>
    <col min="18" max="18" width="15.8515625" style="6" customWidth="1"/>
    <col min="19" max="19" width="9.8515625" style="6" customWidth="1"/>
    <col min="20" max="16384" width="9.140625" style="4" customWidth="1"/>
  </cols>
  <sheetData>
    <row r="1" ht="12.75">
      <c r="B1" s="61" t="s">
        <v>558</v>
      </c>
    </row>
    <row r="2" spans="2:6" ht="12.75">
      <c r="B2" s="61" t="s">
        <v>127</v>
      </c>
      <c r="E2" s="4"/>
      <c r="F2" s="5"/>
    </row>
    <row r="3" spans="2:6" ht="12.75">
      <c r="B3" s="61" t="s">
        <v>128</v>
      </c>
      <c r="E3" s="4"/>
      <c r="F3" s="5"/>
    </row>
    <row r="4" spans="2:6" ht="12.75">
      <c r="B4" s="61" t="s">
        <v>563</v>
      </c>
      <c r="E4" s="4"/>
      <c r="F4" s="5"/>
    </row>
    <row r="5" spans="3:6" ht="12.75">
      <c r="C5" s="61"/>
      <c r="E5" s="4"/>
      <c r="F5" s="5"/>
    </row>
    <row r="6" spans="3:6" ht="0.75" customHeight="1">
      <c r="C6" s="61"/>
      <c r="E6" s="4"/>
      <c r="F6" s="5"/>
    </row>
    <row r="7" spans="1:19" ht="18.75">
      <c r="A7" s="525" t="s">
        <v>133</v>
      </c>
      <c r="B7" s="525"/>
      <c r="C7" s="525"/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5"/>
      <c r="P7" s="525"/>
      <c r="Q7" s="525"/>
      <c r="R7" s="4"/>
      <c r="S7" s="4"/>
    </row>
    <row r="8" spans="1:19" ht="18.75" customHeight="1">
      <c r="A8" s="526" t="s">
        <v>134</v>
      </c>
      <c r="B8" s="526"/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526"/>
      <c r="O8" s="526"/>
      <c r="P8" s="526"/>
      <c r="Q8" s="526"/>
      <c r="R8" s="4"/>
      <c r="S8" s="4"/>
    </row>
    <row r="9" spans="1:19" ht="18.75" customHeight="1">
      <c r="A9" s="526" t="s">
        <v>540</v>
      </c>
      <c r="B9" s="526"/>
      <c r="C9" s="526"/>
      <c r="D9" s="526"/>
      <c r="E9" s="526"/>
      <c r="F9" s="526"/>
      <c r="G9" s="526"/>
      <c r="H9" s="526"/>
      <c r="I9" s="526"/>
      <c r="J9" s="526"/>
      <c r="K9" s="526"/>
      <c r="L9" s="526"/>
      <c r="M9" s="526"/>
      <c r="N9" s="526"/>
      <c r="O9" s="526"/>
      <c r="P9" s="526"/>
      <c r="Q9" s="526"/>
      <c r="R9" s="4"/>
      <c r="S9" s="4"/>
    </row>
    <row r="10" spans="1:19" ht="9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19.5" customHeight="1" thickBot="1">
      <c r="A11" s="8"/>
      <c r="B11" s="9"/>
      <c r="C11" s="9"/>
      <c r="D11" s="9"/>
      <c r="E11" s="9"/>
      <c r="F11" s="10"/>
      <c r="G11" s="180" t="s">
        <v>137</v>
      </c>
      <c r="H11" s="11"/>
      <c r="I11" s="11"/>
      <c r="J11" s="180" t="s">
        <v>137</v>
      </c>
      <c r="K11" s="180" t="s">
        <v>137</v>
      </c>
      <c r="L11" s="180"/>
      <c r="M11" s="180"/>
      <c r="N11" s="180"/>
      <c r="O11" s="180"/>
      <c r="P11" s="180"/>
      <c r="Q11" s="180"/>
      <c r="R11" s="180" t="s">
        <v>137</v>
      </c>
      <c r="S11" s="180"/>
    </row>
    <row r="12" spans="1:19" s="16" customFormat="1" ht="63.75" thickBot="1">
      <c r="A12" s="12" t="s">
        <v>187</v>
      </c>
      <c r="B12" s="176" t="s">
        <v>520</v>
      </c>
      <c r="C12" s="177" t="s">
        <v>188</v>
      </c>
      <c r="D12" s="177" t="s">
        <v>189</v>
      </c>
      <c r="E12" s="177" t="s">
        <v>190</v>
      </c>
      <c r="F12" s="178" t="s">
        <v>191</v>
      </c>
      <c r="G12" s="196" t="s">
        <v>192</v>
      </c>
      <c r="H12" s="179" t="s">
        <v>193</v>
      </c>
      <c r="I12" s="179" t="s">
        <v>194</v>
      </c>
      <c r="J12" s="196" t="s">
        <v>18</v>
      </c>
      <c r="K12" s="282" t="s">
        <v>521</v>
      </c>
      <c r="L12" s="311" t="s">
        <v>522</v>
      </c>
      <c r="M12" s="324" t="s">
        <v>523</v>
      </c>
      <c r="N12" s="322" t="s">
        <v>529</v>
      </c>
      <c r="O12" s="322" t="s">
        <v>529</v>
      </c>
      <c r="P12" s="322" t="s">
        <v>529</v>
      </c>
      <c r="Q12" s="381" t="s">
        <v>549</v>
      </c>
      <c r="R12" s="381" t="s">
        <v>559</v>
      </c>
      <c r="S12" s="381" t="s">
        <v>560</v>
      </c>
    </row>
    <row r="13" spans="1:19" ht="13.5" thickBot="1">
      <c r="A13" s="63">
        <v>1</v>
      </c>
      <c r="B13" s="13">
        <v>2</v>
      </c>
      <c r="C13" s="14">
        <v>3</v>
      </c>
      <c r="D13" s="14">
        <v>4</v>
      </c>
      <c r="E13" s="14">
        <v>5</v>
      </c>
      <c r="F13" s="15">
        <v>6</v>
      </c>
      <c r="G13" s="197" t="s">
        <v>129</v>
      </c>
      <c r="H13" s="64" t="s">
        <v>195</v>
      </c>
      <c r="I13" s="64" t="s">
        <v>196</v>
      </c>
      <c r="J13" s="197" t="s">
        <v>129</v>
      </c>
      <c r="K13" s="283" t="s">
        <v>129</v>
      </c>
      <c r="L13" s="312"/>
      <c r="M13" s="64"/>
      <c r="N13" s="197" t="s">
        <v>530</v>
      </c>
      <c r="O13" s="197" t="s">
        <v>522</v>
      </c>
      <c r="P13" s="197" t="s">
        <v>523</v>
      </c>
      <c r="Q13" s="454" t="s">
        <v>129</v>
      </c>
      <c r="R13" s="454" t="s">
        <v>561</v>
      </c>
      <c r="S13" s="454" t="s">
        <v>195</v>
      </c>
    </row>
    <row r="14" spans="1:19" s="1" customFormat="1" ht="19.5" customHeight="1" thickBot="1">
      <c r="A14" s="182" t="s">
        <v>135</v>
      </c>
      <c r="B14" s="183" t="s">
        <v>201</v>
      </c>
      <c r="C14" s="184" t="s">
        <v>198</v>
      </c>
      <c r="D14" s="184" t="s">
        <v>199</v>
      </c>
      <c r="E14" s="185"/>
      <c r="F14" s="186"/>
      <c r="G14" s="198">
        <f>G15+G55+G82+G113+G118+G24</f>
        <v>65831.7985</v>
      </c>
      <c r="H14" s="198" t="e">
        <f>H15+H55+H82+H113+H118+H24</f>
        <v>#REF!</v>
      </c>
      <c r="I14" s="198" t="e">
        <f>I15+I55+I82+I113+I118+I24</f>
        <v>#REF!</v>
      </c>
      <c r="J14" s="198">
        <f>J15+J55+J82+J113+J118+J24</f>
        <v>11748.03265</v>
      </c>
      <c r="K14" s="284">
        <f>K15+K24+K55+K82+K113+K119+K325</f>
        <v>77579.83115</v>
      </c>
      <c r="L14" s="284">
        <f>L15+L24+L55+L82+L113+L119+L325</f>
        <v>-200</v>
      </c>
      <c r="M14" s="284">
        <f>M15+M24+M55+M82+M113+M119+M325</f>
        <v>2155.53435</v>
      </c>
      <c r="N14" s="284">
        <f>N15+N24+N55+N82+N113+N119+N325+N76</f>
        <v>79535.36549999999</v>
      </c>
      <c r="O14" s="284">
        <f>O15+O24+O55+O82+O113+O119+O325+O76</f>
        <v>-509</v>
      </c>
      <c r="P14" s="284">
        <f>P15+P24+P55+P82+P113+P119+P325+P76</f>
        <v>1248.55</v>
      </c>
      <c r="Q14" s="462">
        <f>Q15+Q24+Q55+Q82+Q113+Q118+Q76</f>
        <v>80032.30537</v>
      </c>
      <c r="R14" s="463">
        <f>R15+R24+R55+R82+R113+R118+R76</f>
        <v>77908.77622</v>
      </c>
      <c r="S14" s="464">
        <f>R14/Q14*100</f>
        <v>97.34666002661969</v>
      </c>
    </row>
    <row r="15" spans="1:19" s="1" customFormat="1" ht="43.5" thickBot="1">
      <c r="A15" s="17" t="s">
        <v>138</v>
      </c>
      <c r="B15" s="18" t="s">
        <v>202</v>
      </c>
      <c r="C15" s="19" t="s">
        <v>198</v>
      </c>
      <c r="D15" s="19" t="s">
        <v>203</v>
      </c>
      <c r="E15" s="20"/>
      <c r="F15" s="21"/>
      <c r="G15" s="199">
        <f aca="true" t="shared" si="0" ref="G15:R17">G16</f>
        <v>2025.5361300000002</v>
      </c>
      <c r="H15" s="22">
        <f t="shared" si="0"/>
        <v>1920.0394577000004</v>
      </c>
      <c r="I15" s="22">
        <f t="shared" si="0"/>
        <v>2006.1863965</v>
      </c>
      <c r="J15" s="199">
        <f t="shared" si="0"/>
        <v>97.00105</v>
      </c>
      <c r="K15" s="285">
        <f t="shared" si="0"/>
        <v>2122.53718</v>
      </c>
      <c r="L15" s="327">
        <f t="shared" si="0"/>
        <v>0</v>
      </c>
      <c r="M15" s="22">
        <f t="shared" si="0"/>
        <v>0</v>
      </c>
      <c r="N15" s="199">
        <f t="shared" si="0"/>
        <v>2122.53718</v>
      </c>
      <c r="O15" s="199">
        <f t="shared" si="0"/>
        <v>0</v>
      </c>
      <c r="P15" s="285">
        <f t="shared" si="0"/>
        <v>0</v>
      </c>
      <c r="Q15" s="467">
        <f t="shared" si="0"/>
        <v>2122.53718</v>
      </c>
      <c r="R15" s="467">
        <f t="shared" si="0"/>
        <v>2111.92662</v>
      </c>
      <c r="S15" s="468">
        <f aca="true" t="shared" si="1" ref="S15:S78">R15/Q15*100</f>
        <v>99.500100158434</v>
      </c>
    </row>
    <row r="16" spans="1:19" s="1" customFormat="1" ht="39.75" customHeight="1">
      <c r="A16" s="65" t="s">
        <v>241</v>
      </c>
      <c r="B16" s="66" t="s">
        <v>202</v>
      </c>
      <c r="C16" s="67" t="s">
        <v>198</v>
      </c>
      <c r="D16" s="67" t="s">
        <v>203</v>
      </c>
      <c r="E16" s="68" t="s">
        <v>205</v>
      </c>
      <c r="F16" s="69"/>
      <c r="G16" s="200">
        <f t="shared" si="0"/>
        <v>2025.5361300000002</v>
      </c>
      <c r="H16" s="70">
        <f t="shared" si="0"/>
        <v>1920.0394577000004</v>
      </c>
      <c r="I16" s="70">
        <f t="shared" si="0"/>
        <v>2006.1863965</v>
      </c>
      <c r="J16" s="200">
        <f t="shared" si="0"/>
        <v>97.00105</v>
      </c>
      <c r="K16" s="286">
        <f t="shared" si="0"/>
        <v>2122.53718</v>
      </c>
      <c r="L16" s="328">
        <f t="shared" si="0"/>
        <v>0</v>
      </c>
      <c r="M16" s="70">
        <f t="shared" si="0"/>
        <v>0</v>
      </c>
      <c r="N16" s="70">
        <f t="shared" si="0"/>
        <v>2122.53718</v>
      </c>
      <c r="O16" s="70">
        <f t="shared" si="0"/>
        <v>0</v>
      </c>
      <c r="P16" s="328">
        <f t="shared" si="0"/>
        <v>0</v>
      </c>
      <c r="Q16" s="471">
        <f t="shared" si="0"/>
        <v>2122.53718</v>
      </c>
      <c r="R16" s="472">
        <f t="shared" si="0"/>
        <v>2111.92662</v>
      </c>
      <c r="S16" s="473">
        <f t="shared" si="1"/>
        <v>99.500100158434</v>
      </c>
    </row>
    <row r="17" spans="1:19" s="1" customFormat="1" ht="16.5" customHeight="1">
      <c r="A17" s="46" t="s">
        <v>206</v>
      </c>
      <c r="B17" s="71" t="s">
        <v>202</v>
      </c>
      <c r="C17" s="72" t="s">
        <v>198</v>
      </c>
      <c r="D17" s="72" t="s">
        <v>203</v>
      </c>
      <c r="E17" s="73" t="s">
        <v>207</v>
      </c>
      <c r="F17" s="74"/>
      <c r="G17" s="96">
        <f t="shared" si="0"/>
        <v>2025.5361300000002</v>
      </c>
      <c r="H17" s="75">
        <f t="shared" si="0"/>
        <v>1920.0394577000004</v>
      </c>
      <c r="I17" s="75">
        <f t="shared" si="0"/>
        <v>2006.1863965</v>
      </c>
      <c r="J17" s="96">
        <f t="shared" si="0"/>
        <v>97.00105</v>
      </c>
      <c r="K17" s="287">
        <f t="shared" si="0"/>
        <v>2122.53718</v>
      </c>
      <c r="L17" s="313">
        <f t="shared" si="0"/>
        <v>0</v>
      </c>
      <c r="M17" s="75">
        <f t="shared" si="0"/>
        <v>0</v>
      </c>
      <c r="N17" s="75">
        <f t="shared" si="0"/>
        <v>2122.53718</v>
      </c>
      <c r="O17" s="75">
        <f t="shared" si="0"/>
        <v>0</v>
      </c>
      <c r="P17" s="313">
        <f t="shared" si="0"/>
        <v>0</v>
      </c>
      <c r="Q17" s="474">
        <f t="shared" si="0"/>
        <v>2122.53718</v>
      </c>
      <c r="R17" s="449">
        <f t="shared" si="0"/>
        <v>2111.92662</v>
      </c>
      <c r="S17" s="465">
        <f t="shared" si="1"/>
        <v>99.500100158434</v>
      </c>
    </row>
    <row r="18" spans="1:19" s="1" customFormat="1" ht="15.75" customHeight="1" thickBot="1">
      <c r="A18" s="192" t="s">
        <v>108</v>
      </c>
      <c r="B18" s="141" t="s">
        <v>202</v>
      </c>
      <c r="C18" s="76" t="s">
        <v>198</v>
      </c>
      <c r="D18" s="76" t="s">
        <v>203</v>
      </c>
      <c r="E18" s="77" t="s">
        <v>207</v>
      </c>
      <c r="F18" s="78" t="s">
        <v>105</v>
      </c>
      <c r="G18" s="258">
        <f aca="true" t="shared" si="2" ref="G18:N18">G21+G22+G23</f>
        <v>2025.5361300000002</v>
      </c>
      <c r="H18" s="259">
        <f t="shared" si="2"/>
        <v>1920.0394577000004</v>
      </c>
      <c r="I18" s="259">
        <f t="shared" si="2"/>
        <v>2006.1863965</v>
      </c>
      <c r="J18" s="258">
        <f t="shared" si="2"/>
        <v>97.00105</v>
      </c>
      <c r="K18" s="288">
        <f t="shared" si="2"/>
        <v>2122.53718</v>
      </c>
      <c r="L18" s="314">
        <f t="shared" si="2"/>
        <v>0</v>
      </c>
      <c r="M18" s="259">
        <f t="shared" si="2"/>
        <v>0</v>
      </c>
      <c r="N18" s="259">
        <f t="shared" si="2"/>
        <v>2122.53718</v>
      </c>
      <c r="O18" s="259">
        <f>O21+O22+O23</f>
        <v>0</v>
      </c>
      <c r="P18" s="314">
        <f>P21+P22+P23</f>
        <v>0</v>
      </c>
      <c r="Q18" s="475">
        <f>Q21+Q22+Q23</f>
        <v>2122.53718</v>
      </c>
      <c r="R18" s="476">
        <v>2111.92662</v>
      </c>
      <c r="S18" s="477">
        <f t="shared" si="1"/>
        <v>99.500100158434</v>
      </c>
    </row>
    <row r="19" spans="1:19" s="1" customFormat="1" ht="13.5" customHeight="1" hidden="1" thickBot="1">
      <c r="A19" s="29"/>
      <c r="B19" s="30"/>
      <c r="C19" s="79"/>
      <c r="D19" s="79"/>
      <c r="E19" s="80"/>
      <c r="F19" s="81" t="s">
        <v>113</v>
      </c>
      <c r="G19" s="258">
        <f aca="true" t="shared" si="3" ref="G19:N19">G21+G23</f>
        <v>2025.5361300000002</v>
      </c>
      <c r="H19" s="259">
        <f t="shared" si="3"/>
        <v>1915.0344577000003</v>
      </c>
      <c r="I19" s="259">
        <f t="shared" si="3"/>
        <v>2000.9613965</v>
      </c>
      <c r="J19" s="258">
        <f t="shared" si="3"/>
        <v>97.00105</v>
      </c>
      <c r="K19" s="288">
        <f t="shared" si="3"/>
        <v>2122.53718</v>
      </c>
      <c r="L19" s="330">
        <f t="shared" si="3"/>
        <v>0</v>
      </c>
      <c r="M19" s="259">
        <f t="shared" si="3"/>
        <v>0</v>
      </c>
      <c r="N19" s="259">
        <f t="shared" si="3"/>
        <v>2122.53718</v>
      </c>
      <c r="O19" s="259">
        <f>O21+O23</f>
        <v>0</v>
      </c>
      <c r="P19" s="314">
        <f>P21+P23</f>
        <v>0</v>
      </c>
      <c r="Q19" s="469">
        <f>Q21+Q23</f>
        <v>2122.53718</v>
      </c>
      <c r="R19" s="469">
        <f>R21+R23</f>
        <v>2122.53718</v>
      </c>
      <c r="S19" s="470">
        <f t="shared" si="1"/>
        <v>100</v>
      </c>
    </row>
    <row r="20" spans="1:19" s="1" customFormat="1" ht="13.5" customHeight="1" hidden="1">
      <c r="A20" s="29"/>
      <c r="B20" s="30"/>
      <c r="C20" s="79"/>
      <c r="D20" s="79"/>
      <c r="E20" s="80"/>
      <c r="F20" s="81" t="s">
        <v>114</v>
      </c>
      <c r="G20" s="258">
        <f>G22</f>
        <v>0</v>
      </c>
      <c r="H20" s="259">
        <f>H22</f>
        <v>5.005</v>
      </c>
      <c r="I20" s="259">
        <f>I22</f>
        <v>5.225</v>
      </c>
      <c r="J20" s="258">
        <f>J22</f>
        <v>0</v>
      </c>
      <c r="K20" s="288">
        <v>0</v>
      </c>
      <c r="L20" s="332">
        <v>0</v>
      </c>
      <c r="M20" s="259">
        <v>0</v>
      </c>
      <c r="N20" s="259">
        <v>0</v>
      </c>
      <c r="O20" s="259">
        <v>0</v>
      </c>
      <c r="P20" s="314">
        <v>0</v>
      </c>
      <c r="Q20" s="456">
        <v>0</v>
      </c>
      <c r="R20" s="456">
        <v>0</v>
      </c>
      <c r="S20" s="459" t="e">
        <f t="shared" si="1"/>
        <v>#DIV/0!</v>
      </c>
    </row>
    <row r="21" spans="1:19" ht="15.75" customHeight="1" hidden="1" thickBot="1">
      <c r="A21" s="29"/>
      <c r="B21" s="30"/>
      <c r="C21" s="79"/>
      <c r="D21" s="79"/>
      <c r="E21" s="80"/>
      <c r="F21" s="81" t="s">
        <v>215</v>
      </c>
      <c r="G21" s="89">
        <v>1745.13261</v>
      </c>
      <c r="H21" s="82">
        <f>1816.80147*0.91</f>
        <v>1653.2893377000003</v>
      </c>
      <c r="I21" s="82">
        <f>1816.80147*0.95</f>
        <v>1725.9613965</v>
      </c>
      <c r="J21" s="89">
        <v>77.85939</v>
      </c>
      <c r="K21" s="275">
        <v>1822.992</v>
      </c>
      <c r="L21" s="87"/>
      <c r="M21" s="82"/>
      <c r="N21" s="82">
        <f>K21+L21+M21</f>
        <v>1822.992</v>
      </c>
      <c r="O21" s="82"/>
      <c r="P21" s="315"/>
      <c r="Q21" s="448">
        <f aca="true" t="shared" si="4" ref="Q21:R23">N21+O21+P21</f>
        <v>1822.992</v>
      </c>
      <c r="R21" s="448">
        <f t="shared" si="4"/>
        <v>1822.992</v>
      </c>
      <c r="S21" s="459">
        <f t="shared" si="1"/>
        <v>100</v>
      </c>
    </row>
    <row r="22" spans="1:19" ht="14.25" customHeight="1" hidden="1">
      <c r="A22" s="46"/>
      <c r="B22" s="71"/>
      <c r="C22" s="76"/>
      <c r="D22" s="76"/>
      <c r="E22" s="77"/>
      <c r="F22" s="78" t="s">
        <v>216</v>
      </c>
      <c r="G22" s="89"/>
      <c r="H22" s="82">
        <f>5.5*0.91</f>
        <v>5.005</v>
      </c>
      <c r="I22" s="82">
        <f>5.5*0.95</f>
        <v>5.225</v>
      </c>
      <c r="J22" s="89"/>
      <c r="K22" s="275"/>
      <c r="L22" s="331"/>
      <c r="M22" s="82"/>
      <c r="N22" s="82">
        <f>K22+L22+M22</f>
        <v>0</v>
      </c>
      <c r="O22" s="82"/>
      <c r="P22" s="315"/>
      <c r="Q22" s="448">
        <f t="shared" si="4"/>
        <v>0</v>
      </c>
      <c r="R22" s="448">
        <f t="shared" si="4"/>
        <v>0</v>
      </c>
      <c r="S22" s="459" t="e">
        <f t="shared" si="1"/>
        <v>#DIV/0!</v>
      </c>
    </row>
    <row r="23" spans="1:19" ht="17.25" customHeight="1" hidden="1" thickBot="1">
      <c r="A23" s="62"/>
      <c r="B23" s="53"/>
      <c r="C23" s="84"/>
      <c r="D23" s="84"/>
      <c r="E23" s="85"/>
      <c r="F23" s="86" t="s">
        <v>217</v>
      </c>
      <c r="G23" s="94">
        <v>280.40352</v>
      </c>
      <c r="H23" s="87">
        <f>(512*0.302+1304*0.102)*0.91</f>
        <v>261.74512</v>
      </c>
      <c r="I23" s="87">
        <f>275</f>
        <v>275</v>
      </c>
      <c r="J23" s="94">
        <v>19.14166</v>
      </c>
      <c r="K23" s="275">
        <f>G23+J23</f>
        <v>299.54518</v>
      </c>
      <c r="L23" s="329"/>
      <c r="M23" s="87"/>
      <c r="N23" s="87">
        <f>K23+L23+M23</f>
        <v>299.54518</v>
      </c>
      <c r="O23" s="87"/>
      <c r="P23" s="329"/>
      <c r="Q23" s="448">
        <f t="shared" si="4"/>
        <v>299.54518</v>
      </c>
      <c r="R23" s="448">
        <f t="shared" si="4"/>
        <v>299.54518</v>
      </c>
      <c r="S23" s="459">
        <f t="shared" si="1"/>
        <v>100</v>
      </c>
    </row>
    <row r="24" spans="1:19" ht="57.75" thickBot="1">
      <c r="A24" s="17" t="s">
        <v>218</v>
      </c>
      <c r="B24" s="18" t="s">
        <v>202</v>
      </c>
      <c r="C24" s="19" t="s">
        <v>198</v>
      </c>
      <c r="D24" s="19" t="s">
        <v>219</v>
      </c>
      <c r="E24" s="20"/>
      <c r="F24" s="21"/>
      <c r="G24" s="199">
        <f aca="true" t="shared" si="5" ref="G24:R24">G25</f>
        <v>2640</v>
      </c>
      <c r="H24" s="22">
        <f t="shared" si="5"/>
        <v>2429.7000000000003</v>
      </c>
      <c r="I24" s="22">
        <f t="shared" si="5"/>
        <v>2502.2999999999997</v>
      </c>
      <c r="J24" s="199">
        <f t="shared" si="5"/>
        <v>252.83303999999998</v>
      </c>
      <c r="K24" s="285">
        <f t="shared" si="5"/>
        <v>2892.83304</v>
      </c>
      <c r="L24" s="285">
        <f t="shared" si="5"/>
        <v>0</v>
      </c>
      <c r="M24" s="285">
        <f t="shared" si="5"/>
        <v>6.59728</v>
      </c>
      <c r="N24" s="285">
        <f t="shared" si="5"/>
        <v>2899.43032</v>
      </c>
      <c r="O24" s="285">
        <f t="shared" si="5"/>
        <v>0</v>
      </c>
      <c r="P24" s="285">
        <f t="shared" si="5"/>
        <v>0</v>
      </c>
      <c r="Q24" s="478">
        <f t="shared" si="5"/>
        <v>2899.4303200000004</v>
      </c>
      <c r="R24" s="478">
        <f t="shared" si="5"/>
        <v>2523.30406</v>
      </c>
      <c r="S24" s="479">
        <f t="shared" si="1"/>
        <v>87.02758064556625</v>
      </c>
    </row>
    <row r="25" spans="1:19" ht="40.5" customHeight="1" thickBot="1">
      <c r="A25" s="23" t="s">
        <v>241</v>
      </c>
      <c r="B25" s="33" t="s">
        <v>202</v>
      </c>
      <c r="C25" s="34" t="s">
        <v>198</v>
      </c>
      <c r="D25" s="34" t="s">
        <v>219</v>
      </c>
      <c r="E25" s="35" t="s">
        <v>205</v>
      </c>
      <c r="F25" s="36"/>
      <c r="G25" s="201">
        <f aca="true" t="shared" si="6" ref="G25:N25">G26+G42</f>
        <v>2640</v>
      </c>
      <c r="H25" s="28">
        <f t="shared" si="6"/>
        <v>2429.7000000000003</v>
      </c>
      <c r="I25" s="28">
        <f t="shared" si="6"/>
        <v>2502.2999999999997</v>
      </c>
      <c r="J25" s="201">
        <f t="shared" si="6"/>
        <v>252.83303999999998</v>
      </c>
      <c r="K25" s="289">
        <f t="shared" si="6"/>
        <v>2892.83304</v>
      </c>
      <c r="L25" s="289">
        <f t="shared" si="6"/>
        <v>0</v>
      </c>
      <c r="M25" s="289">
        <f t="shared" si="6"/>
        <v>6.59728</v>
      </c>
      <c r="N25" s="289">
        <f t="shared" si="6"/>
        <v>2899.43032</v>
      </c>
      <c r="O25" s="289">
        <f>O26+O42</f>
        <v>0</v>
      </c>
      <c r="P25" s="289">
        <f>P26+P42</f>
        <v>0</v>
      </c>
      <c r="Q25" s="482">
        <f>Q26+Q42</f>
        <v>2899.4303200000004</v>
      </c>
      <c r="R25" s="483">
        <f>R26+R42</f>
        <v>2523.30406</v>
      </c>
      <c r="S25" s="484">
        <f t="shared" si="1"/>
        <v>87.02758064556625</v>
      </c>
    </row>
    <row r="26" spans="1:19" ht="16.5" customHeight="1">
      <c r="A26" s="109" t="s">
        <v>220</v>
      </c>
      <c r="B26" s="66" t="s">
        <v>202</v>
      </c>
      <c r="C26" s="67" t="s">
        <v>198</v>
      </c>
      <c r="D26" s="67" t="s">
        <v>219</v>
      </c>
      <c r="E26" s="68" t="s">
        <v>221</v>
      </c>
      <c r="F26" s="69"/>
      <c r="G26" s="88">
        <f aca="true" t="shared" si="7" ref="G26:N26">G27+G31+G38</f>
        <v>1123.2</v>
      </c>
      <c r="H26" s="88">
        <f t="shared" si="7"/>
        <v>1046.5</v>
      </c>
      <c r="I26" s="88">
        <f t="shared" si="7"/>
        <v>1092.5</v>
      </c>
      <c r="J26" s="88">
        <f t="shared" si="7"/>
        <v>191.5664</v>
      </c>
      <c r="K26" s="290">
        <f t="shared" si="7"/>
        <v>1314.7664</v>
      </c>
      <c r="L26" s="290">
        <f t="shared" si="7"/>
        <v>0</v>
      </c>
      <c r="M26" s="290">
        <f t="shared" si="7"/>
        <v>6.59728</v>
      </c>
      <c r="N26" s="290">
        <f t="shared" si="7"/>
        <v>1321.36368</v>
      </c>
      <c r="O26" s="290">
        <f>O27+O31+O38</f>
        <v>0</v>
      </c>
      <c r="P26" s="290">
        <f>P27+P31+P38</f>
        <v>0</v>
      </c>
      <c r="Q26" s="480">
        <f>Q27+Q31+Q38</f>
        <v>1321.3636800000002</v>
      </c>
      <c r="R26" s="480">
        <f>R27+R31+R38</f>
        <v>1004.12763</v>
      </c>
      <c r="S26" s="481">
        <f t="shared" si="1"/>
        <v>75.99176859469907</v>
      </c>
    </row>
    <row r="27" spans="1:19" ht="15.75" customHeight="1">
      <c r="A27" s="193" t="s">
        <v>108</v>
      </c>
      <c r="B27" s="141" t="s">
        <v>202</v>
      </c>
      <c r="C27" s="76" t="s">
        <v>198</v>
      </c>
      <c r="D27" s="76" t="s">
        <v>219</v>
      </c>
      <c r="E27" s="77" t="s">
        <v>221</v>
      </c>
      <c r="F27" s="78" t="s">
        <v>105</v>
      </c>
      <c r="G27" s="89">
        <f aca="true" t="shared" si="8" ref="G27:N27">G29+G30</f>
        <v>552</v>
      </c>
      <c r="H27" s="89">
        <f t="shared" si="8"/>
        <v>523.25</v>
      </c>
      <c r="I27" s="89">
        <f t="shared" si="8"/>
        <v>546.25</v>
      </c>
      <c r="J27" s="89">
        <f t="shared" si="8"/>
        <v>167.7664</v>
      </c>
      <c r="K27" s="275">
        <f t="shared" si="8"/>
        <v>719.7664</v>
      </c>
      <c r="L27" s="275">
        <f t="shared" si="8"/>
        <v>0</v>
      </c>
      <c r="M27" s="275">
        <f t="shared" si="8"/>
        <v>6.59728</v>
      </c>
      <c r="N27" s="275">
        <f t="shared" si="8"/>
        <v>726.36368</v>
      </c>
      <c r="O27" s="275">
        <f>O29+O30</f>
        <v>-0.01758</v>
      </c>
      <c r="P27" s="275">
        <f>P29+P30</f>
        <v>0</v>
      </c>
      <c r="Q27" s="448">
        <f>Q29+Q30</f>
        <v>726.3461000000001</v>
      </c>
      <c r="R27" s="448">
        <v>589.73686</v>
      </c>
      <c r="S27" s="444">
        <f t="shared" si="1"/>
        <v>81.1922663314362</v>
      </c>
    </row>
    <row r="28" spans="1:19" ht="16.5" customHeight="1" hidden="1">
      <c r="A28" s="192"/>
      <c r="B28" s="141"/>
      <c r="C28" s="76"/>
      <c r="D28" s="76"/>
      <c r="E28" s="77"/>
      <c r="F28" s="78" t="s">
        <v>113</v>
      </c>
      <c r="G28" s="89">
        <f aca="true" t="shared" si="9" ref="G28:N28">G29+G30</f>
        <v>552</v>
      </c>
      <c r="H28" s="89">
        <f t="shared" si="9"/>
        <v>523.25</v>
      </c>
      <c r="I28" s="89">
        <f t="shared" si="9"/>
        <v>546.25</v>
      </c>
      <c r="J28" s="89">
        <f t="shared" si="9"/>
        <v>167.7664</v>
      </c>
      <c r="K28" s="275">
        <f t="shared" si="9"/>
        <v>719.7664</v>
      </c>
      <c r="L28" s="275">
        <f t="shared" si="9"/>
        <v>0</v>
      </c>
      <c r="M28" s="275">
        <f t="shared" si="9"/>
        <v>6.59728</v>
      </c>
      <c r="N28" s="275">
        <f t="shared" si="9"/>
        <v>726.36368</v>
      </c>
      <c r="O28" s="275">
        <f>O29+O30</f>
        <v>-0.01758</v>
      </c>
      <c r="P28" s="275">
        <f>P29+P30</f>
        <v>0</v>
      </c>
      <c r="Q28" s="448">
        <f>Q29+Q30</f>
        <v>726.3461000000001</v>
      </c>
      <c r="R28" s="448">
        <f>R29+R30</f>
        <v>726.32852</v>
      </c>
      <c r="S28" s="444">
        <f t="shared" si="1"/>
        <v>99.99757966622246</v>
      </c>
    </row>
    <row r="29" spans="1:19" ht="12.75" hidden="1">
      <c r="A29" s="192"/>
      <c r="B29" s="141"/>
      <c r="C29" s="76"/>
      <c r="D29" s="76"/>
      <c r="E29" s="77"/>
      <c r="F29" s="78" t="s">
        <v>215</v>
      </c>
      <c r="G29" s="89">
        <v>442</v>
      </c>
      <c r="H29" s="89">
        <f>442*0.91</f>
        <v>402.22</v>
      </c>
      <c r="I29" s="89">
        <f>442*0.95</f>
        <v>419.9</v>
      </c>
      <c r="J29" s="89">
        <v>110.7664</v>
      </c>
      <c r="K29" s="275">
        <v>552.8164</v>
      </c>
      <c r="L29" s="315"/>
      <c r="M29" s="82">
        <v>5.06703</v>
      </c>
      <c r="N29" s="89">
        <f>K29+L29+M29</f>
        <v>557.8834300000001</v>
      </c>
      <c r="O29" s="89"/>
      <c r="P29" s="275"/>
      <c r="Q29" s="448">
        <f>N29+O29+P29</f>
        <v>557.8834300000001</v>
      </c>
      <c r="R29" s="448">
        <f>O29+P29+Q29</f>
        <v>557.8834300000001</v>
      </c>
      <c r="S29" s="444">
        <f t="shared" si="1"/>
        <v>100</v>
      </c>
    </row>
    <row r="30" spans="1:19" ht="12.75" hidden="1">
      <c r="A30" s="181"/>
      <c r="B30" s="141"/>
      <c r="C30" s="76"/>
      <c r="D30" s="76"/>
      <c r="E30" s="77"/>
      <c r="F30" s="78" t="s">
        <v>217</v>
      </c>
      <c r="G30" s="89">
        <v>110</v>
      </c>
      <c r="H30" s="89">
        <f>133*0.91</f>
        <v>121.03</v>
      </c>
      <c r="I30" s="89">
        <f>133*0.95</f>
        <v>126.35</v>
      </c>
      <c r="J30" s="89">
        <v>57</v>
      </c>
      <c r="K30" s="275">
        <v>166.95</v>
      </c>
      <c r="L30" s="315"/>
      <c r="M30" s="82">
        <v>1.53025</v>
      </c>
      <c r="N30" s="89">
        <f>K30+L30+M30</f>
        <v>168.48024999999998</v>
      </c>
      <c r="O30" s="89">
        <v>-0.01758</v>
      </c>
      <c r="P30" s="275"/>
      <c r="Q30" s="448">
        <f>N30+O30+P30</f>
        <v>168.46266999999997</v>
      </c>
      <c r="R30" s="448">
        <f>O30+P30+Q30</f>
        <v>168.44508999999996</v>
      </c>
      <c r="S30" s="444">
        <f t="shared" si="1"/>
        <v>99.98956445365612</v>
      </c>
    </row>
    <row r="31" spans="1:19" ht="15.75" customHeight="1">
      <c r="A31" s="192" t="s">
        <v>109</v>
      </c>
      <c r="B31" s="141" t="s">
        <v>202</v>
      </c>
      <c r="C31" s="76" t="s">
        <v>198</v>
      </c>
      <c r="D31" s="76" t="s">
        <v>219</v>
      </c>
      <c r="E31" s="77" t="s">
        <v>221</v>
      </c>
      <c r="F31" s="78" t="s">
        <v>106</v>
      </c>
      <c r="G31" s="89">
        <f>G32</f>
        <v>494.4</v>
      </c>
      <c r="H31" s="89">
        <f>H32</f>
        <v>468.65</v>
      </c>
      <c r="I31" s="89">
        <f>I32</f>
        <v>489.25</v>
      </c>
      <c r="J31" s="89">
        <f>J32</f>
        <v>20.6</v>
      </c>
      <c r="K31" s="275">
        <f aca="true" t="shared" si="10" ref="K31:Q31">K33+K34+K35+K36+K40+K41+K37</f>
        <v>515</v>
      </c>
      <c r="L31" s="275">
        <f t="shared" si="10"/>
        <v>80</v>
      </c>
      <c r="M31" s="275">
        <f t="shared" si="10"/>
        <v>0</v>
      </c>
      <c r="N31" s="275">
        <f t="shared" si="10"/>
        <v>595</v>
      </c>
      <c r="O31" s="275">
        <f t="shared" si="10"/>
        <v>0</v>
      </c>
      <c r="P31" s="275">
        <f t="shared" si="10"/>
        <v>0</v>
      </c>
      <c r="Q31" s="448">
        <f t="shared" si="10"/>
        <v>595</v>
      </c>
      <c r="R31" s="448">
        <v>414.37319</v>
      </c>
      <c r="S31" s="444">
        <f t="shared" si="1"/>
        <v>69.64255294117648</v>
      </c>
    </row>
    <row r="32" spans="1:19" ht="0.75" customHeight="1" hidden="1">
      <c r="A32" s="192"/>
      <c r="B32" s="141"/>
      <c r="C32" s="76"/>
      <c r="D32" s="76"/>
      <c r="E32" s="77"/>
      <c r="F32" s="78" t="s">
        <v>115</v>
      </c>
      <c r="G32" s="89">
        <f>G33+G34+G35+G36+G40+G41</f>
        <v>494.4</v>
      </c>
      <c r="H32" s="89">
        <f>H33+H34+H35+H36+H40+H41</f>
        <v>468.65</v>
      </c>
      <c r="I32" s="89">
        <f>I33+I34+I35+I36+I40+I41</f>
        <v>489.25</v>
      </c>
      <c r="J32" s="89">
        <f>J33+J34+J35+J36+J40+J41</f>
        <v>20.6</v>
      </c>
      <c r="K32" s="275">
        <f>K33+K34+K35+K36+K40+K41</f>
        <v>515</v>
      </c>
      <c r="L32" s="315"/>
      <c r="M32" s="82"/>
      <c r="N32" s="89"/>
      <c r="O32" s="89"/>
      <c r="P32" s="275"/>
      <c r="Q32" s="448"/>
      <c r="R32" s="448"/>
      <c r="S32" s="444" t="e">
        <f t="shared" si="1"/>
        <v>#DIV/0!</v>
      </c>
    </row>
    <row r="33" spans="1:19" ht="12.75" hidden="1">
      <c r="A33" s="192"/>
      <c r="B33" s="141"/>
      <c r="C33" s="76"/>
      <c r="D33" s="76"/>
      <c r="E33" s="77"/>
      <c r="F33" s="78" t="s">
        <v>233</v>
      </c>
      <c r="G33" s="89">
        <v>5</v>
      </c>
      <c r="H33" s="89">
        <f>5*0.91</f>
        <v>4.55</v>
      </c>
      <c r="I33" s="89">
        <f>5*0.95</f>
        <v>4.75</v>
      </c>
      <c r="J33" s="89"/>
      <c r="K33" s="275">
        <v>5</v>
      </c>
      <c r="L33" s="315"/>
      <c r="M33" s="82"/>
      <c r="N33" s="89">
        <f aca="true" t="shared" si="11" ref="N33:R38">K33+L33+M33</f>
        <v>5</v>
      </c>
      <c r="O33" s="89">
        <v>-0.23922</v>
      </c>
      <c r="P33" s="275"/>
      <c r="Q33" s="448">
        <f t="shared" si="11"/>
        <v>4.7607800000000005</v>
      </c>
      <c r="R33" s="448">
        <f t="shared" si="11"/>
        <v>4.521560000000001</v>
      </c>
      <c r="S33" s="444">
        <f t="shared" si="1"/>
        <v>94.97519314061982</v>
      </c>
    </row>
    <row r="34" spans="1:19" ht="12.75" hidden="1">
      <c r="A34" s="192"/>
      <c r="B34" s="141"/>
      <c r="C34" s="76"/>
      <c r="D34" s="76"/>
      <c r="E34" s="77"/>
      <c r="F34" s="78" t="s">
        <v>234</v>
      </c>
      <c r="G34" s="89">
        <v>0</v>
      </c>
      <c r="H34" s="89">
        <f>5*0.91</f>
        <v>4.55</v>
      </c>
      <c r="I34" s="89">
        <f>5*0.95</f>
        <v>4.75</v>
      </c>
      <c r="J34" s="89">
        <v>5</v>
      </c>
      <c r="K34" s="275">
        <v>0</v>
      </c>
      <c r="L34" s="315"/>
      <c r="M34" s="82"/>
      <c r="N34" s="89">
        <f t="shared" si="11"/>
        <v>0</v>
      </c>
      <c r="O34" s="89">
        <f t="shared" si="11"/>
        <v>0</v>
      </c>
      <c r="P34" s="275">
        <f t="shared" si="11"/>
        <v>0</v>
      </c>
      <c r="Q34" s="448">
        <f t="shared" si="11"/>
        <v>0</v>
      </c>
      <c r="R34" s="448">
        <f t="shared" si="11"/>
        <v>0</v>
      </c>
      <c r="S34" s="444" t="e">
        <f t="shared" si="1"/>
        <v>#DIV/0!</v>
      </c>
    </row>
    <row r="35" spans="1:19" ht="12.75" hidden="1">
      <c r="A35" s="192"/>
      <c r="B35" s="141"/>
      <c r="C35" s="76"/>
      <c r="D35" s="76"/>
      <c r="E35" s="77"/>
      <c r="F35" s="78" t="s">
        <v>235</v>
      </c>
      <c r="G35" s="89">
        <v>0</v>
      </c>
      <c r="H35" s="89">
        <f>5*0.91</f>
        <v>4.55</v>
      </c>
      <c r="I35" s="89">
        <f>5*0.95</f>
        <v>4.75</v>
      </c>
      <c r="J35" s="89">
        <v>5</v>
      </c>
      <c r="K35" s="275">
        <v>0</v>
      </c>
      <c r="L35" s="315"/>
      <c r="M35" s="82"/>
      <c r="N35" s="89">
        <f t="shared" si="11"/>
        <v>0</v>
      </c>
      <c r="O35" s="89">
        <f t="shared" si="11"/>
        <v>0</v>
      </c>
      <c r="P35" s="275">
        <f t="shared" si="11"/>
        <v>0</v>
      </c>
      <c r="Q35" s="448">
        <f t="shared" si="11"/>
        <v>0</v>
      </c>
      <c r="R35" s="448">
        <f t="shared" si="11"/>
        <v>0</v>
      </c>
      <c r="S35" s="444" t="e">
        <f t="shared" si="1"/>
        <v>#DIV/0!</v>
      </c>
    </row>
    <row r="36" spans="1:19" ht="12.75" hidden="1">
      <c r="A36" s="192"/>
      <c r="B36" s="141"/>
      <c r="C36" s="76"/>
      <c r="D36" s="76"/>
      <c r="E36" s="77"/>
      <c r="F36" s="78" t="s">
        <v>236</v>
      </c>
      <c r="G36" s="89">
        <v>400</v>
      </c>
      <c r="H36" s="89">
        <f>400*0.91</f>
        <v>364</v>
      </c>
      <c r="I36" s="89">
        <f>400*0.95</f>
        <v>380</v>
      </c>
      <c r="J36" s="89"/>
      <c r="K36" s="275">
        <v>400</v>
      </c>
      <c r="L36" s="315"/>
      <c r="M36" s="82"/>
      <c r="N36" s="89">
        <f t="shared" si="11"/>
        <v>400</v>
      </c>
      <c r="O36" s="89"/>
      <c r="P36" s="275"/>
      <c r="Q36" s="448">
        <f t="shared" si="11"/>
        <v>400</v>
      </c>
      <c r="R36" s="448">
        <f t="shared" si="11"/>
        <v>400</v>
      </c>
      <c r="S36" s="444">
        <f t="shared" si="1"/>
        <v>100</v>
      </c>
    </row>
    <row r="37" spans="1:19" ht="12.75" hidden="1">
      <c r="A37" s="181"/>
      <c r="B37" s="141"/>
      <c r="C37" s="76"/>
      <c r="D37" s="76"/>
      <c r="E37" s="77"/>
      <c r="F37" s="78" t="s">
        <v>237</v>
      </c>
      <c r="G37" s="89">
        <f>80*0.96</f>
        <v>76.8</v>
      </c>
      <c r="H37" s="89">
        <f>60*0.91</f>
        <v>54.6</v>
      </c>
      <c r="I37" s="89">
        <f>60*0.95</f>
        <v>57</v>
      </c>
      <c r="J37" s="89">
        <v>3.2</v>
      </c>
      <c r="K37" s="275">
        <v>0</v>
      </c>
      <c r="L37" s="315">
        <v>80</v>
      </c>
      <c r="M37" s="82"/>
      <c r="N37" s="89">
        <f t="shared" si="11"/>
        <v>80</v>
      </c>
      <c r="O37" s="89">
        <f>10.23922</f>
        <v>10.23922</v>
      </c>
      <c r="P37" s="275"/>
      <c r="Q37" s="448">
        <f t="shared" si="11"/>
        <v>90.23922</v>
      </c>
      <c r="R37" s="448">
        <f t="shared" si="11"/>
        <v>100.47844</v>
      </c>
      <c r="S37" s="444">
        <f t="shared" si="1"/>
        <v>111.34675144576826</v>
      </c>
    </row>
    <row r="38" spans="1:19" ht="15.75" customHeight="1" thickBot="1">
      <c r="A38" s="194" t="s">
        <v>110</v>
      </c>
      <c r="B38" s="210" t="s">
        <v>202</v>
      </c>
      <c r="C38" s="118" t="s">
        <v>198</v>
      </c>
      <c r="D38" s="118" t="s">
        <v>219</v>
      </c>
      <c r="E38" s="124" t="s">
        <v>221</v>
      </c>
      <c r="F38" s="119" t="s">
        <v>107</v>
      </c>
      <c r="G38" s="94">
        <f aca="true" t="shared" si="12" ref="G38:K39">G37</f>
        <v>76.8</v>
      </c>
      <c r="H38" s="94">
        <f t="shared" si="12"/>
        <v>54.6</v>
      </c>
      <c r="I38" s="94">
        <f t="shared" si="12"/>
        <v>57</v>
      </c>
      <c r="J38" s="94">
        <f t="shared" si="12"/>
        <v>3.2</v>
      </c>
      <c r="K38" s="291">
        <v>80</v>
      </c>
      <c r="L38" s="291">
        <v>-80</v>
      </c>
      <c r="M38" s="291"/>
      <c r="N38" s="291">
        <f t="shared" si="11"/>
        <v>0</v>
      </c>
      <c r="O38" s="291">
        <v>0.01758</v>
      </c>
      <c r="P38" s="291"/>
      <c r="Q38" s="448">
        <f t="shared" si="11"/>
        <v>0.01758</v>
      </c>
      <c r="R38" s="448">
        <v>0.01758</v>
      </c>
      <c r="S38" s="444">
        <f t="shared" si="1"/>
        <v>100</v>
      </c>
    </row>
    <row r="39" spans="1:19" ht="0.75" customHeight="1" hidden="1" thickBot="1">
      <c r="A39" s="193"/>
      <c r="B39" s="99"/>
      <c r="C39" s="100"/>
      <c r="D39" s="100"/>
      <c r="E39" s="110"/>
      <c r="F39" s="101" t="s">
        <v>116</v>
      </c>
      <c r="G39" s="102">
        <f t="shared" si="12"/>
        <v>76.8</v>
      </c>
      <c r="H39" s="102">
        <f t="shared" si="12"/>
        <v>54.6</v>
      </c>
      <c r="I39" s="102">
        <f t="shared" si="12"/>
        <v>57</v>
      </c>
      <c r="J39" s="102">
        <f t="shared" si="12"/>
        <v>3.2</v>
      </c>
      <c r="K39" s="280">
        <f t="shared" si="12"/>
        <v>80</v>
      </c>
      <c r="L39" s="315"/>
      <c r="M39" s="82"/>
      <c r="N39" s="89"/>
      <c r="O39" s="89"/>
      <c r="P39" s="275"/>
      <c r="Q39" s="448"/>
      <c r="R39" s="448"/>
      <c r="S39" s="459" t="e">
        <f t="shared" si="1"/>
        <v>#DIV/0!</v>
      </c>
    </row>
    <row r="40" spans="1:19" ht="14.25" customHeight="1" hidden="1">
      <c r="A40" s="46"/>
      <c r="B40" s="71"/>
      <c r="C40" s="76"/>
      <c r="D40" s="76"/>
      <c r="E40" s="77"/>
      <c r="F40" s="78" t="s">
        <v>238</v>
      </c>
      <c r="G40" s="89">
        <v>49.4</v>
      </c>
      <c r="H40" s="89">
        <f>60*0.91</f>
        <v>54.6</v>
      </c>
      <c r="I40" s="89">
        <f>60*0.95</f>
        <v>57</v>
      </c>
      <c r="J40" s="89">
        <v>10.6</v>
      </c>
      <c r="K40" s="275">
        <v>70</v>
      </c>
      <c r="L40" s="315"/>
      <c r="M40" s="82"/>
      <c r="N40" s="89">
        <f>K40+L40+M40</f>
        <v>70</v>
      </c>
      <c r="O40" s="89">
        <v>-10</v>
      </c>
      <c r="P40" s="275"/>
      <c r="Q40" s="448">
        <f>N40+O40+P40</f>
        <v>60</v>
      </c>
      <c r="R40" s="448">
        <f>O40+P40+Q40</f>
        <v>50</v>
      </c>
      <c r="S40" s="459">
        <f t="shared" si="1"/>
        <v>83.33333333333334</v>
      </c>
    </row>
    <row r="41" spans="1:19" ht="15.75" customHeight="1" hidden="1" thickBot="1">
      <c r="A41" s="62"/>
      <c r="B41" s="90"/>
      <c r="C41" s="91"/>
      <c r="D41" s="91"/>
      <c r="E41" s="92"/>
      <c r="F41" s="93" t="s">
        <v>239</v>
      </c>
      <c r="G41" s="94">
        <v>40</v>
      </c>
      <c r="H41" s="94">
        <f>40*0.91</f>
        <v>36.4</v>
      </c>
      <c r="I41" s="94">
        <f>40*0.95</f>
        <v>38</v>
      </c>
      <c r="J41" s="94"/>
      <c r="K41" s="275">
        <f>G41+J41</f>
        <v>40</v>
      </c>
      <c r="L41" s="315"/>
      <c r="M41" s="82"/>
      <c r="N41" s="89">
        <f>K41+L41+M41</f>
        <v>40</v>
      </c>
      <c r="O41" s="89"/>
      <c r="P41" s="275"/>
      <c r="Q41" s="460">
        <f>N41+O41+P41</f>
        <v>40</v>
      </c>
      <c r="R41" s="460">
        <f>O41+P41+Q41</f>
        <v>40</v>
      </c>
      <c r="S41" s="461">
        <f t="shared" si="1"/>
        <v>100</v>
      </c>
    </row>
    <row r="42" spans="1:19" ht="25.5" customHeight="1">
      <c r="A42" s="46" t="s">
        <v>231</v>
      </c>
      <c r="B42" s="66" t="s">
        <v>202</v>
      </c>
      <c r="C42" s="67" t="s">
        <v>198</v>
      </c>
      <c r="D42" s="67" t="s">
        <v>219</v>
      </c>
      <c r="E42" s="68" t="s">
        <v>232</v>
      </c>
      <c r="F42" s="69"/>
      <c r="G42" s="88">
        <f aca="true" t="shared" si="13" ref="G42:R42">G43</f>
        <v>1516.8000000000002</v>
      </c>
      <c r="H42" s="88">
        <f t="shared" si="13"/>
        <v>1383.2000000000003</v>
      </c>
      <c r="I42" s="88">
        <f t="shared" si="13"/>
        <v>1409.7999999999997</v>
      </c>
      <c r="J42" s="88">
        <f t="shared" si="13"/>
        <v>61.26664</v>
      </c>
      <c r="K42" s="290">
        <f t="shared" si="13"/>
        <v>1578.06664</v>
      </c>
      <c r="L42" s="290">
        <f t="shared" si="13"/>
        <v>0</v>
      </c>
      <c r="M42" s="290">
        <f t="shared" si="13"/>
        <v>0</v>
      </c>
      <c r="N42" s="290">
        <f t="shared" si="13"/>
        <v>1578.06664</v>
      </c>
      <c r="O42" s="290">
        <f t="shared" si="13"/>
        <v>0</v>
      </c>
      <c r="P42" s="290">
        <f t="shared" si="13"/>
        <v>0</v>
      </c>
      <c r="Q42" s="471">
        <f t="shared" si="13"/>
        <v>1578.06664</v>
      </c>
      <c r="R42" s="472">
        <f t="shared" si="13"/>
        <v>1519.17643</v>
      </c>
      <c r="S42" s="473">
        <f t="shared" si="1"/>
        <v>96.26820512472148</v>
      </c>
    </row>
    <row r="43" spans="1:19" ht="12.75" hidden="1">
      <c r="A43" s="46" t="s">
        <v>208</v>
      </c>
      <c r="B43" s="90" t="s">
        <v>202</v>
      </c>
      <c r="C43" s="91" t="s">
        <v>198</v>
      </c>
      <c r="D43" s="91" t="s">
        <v>219</v>
      </c>
      <c r="E43" s="92" t="s">
        <v>232</v>
      </c>
      <c r="F43" s="78"/>
      <c r="G43" s="89">
        <f aca="true" t="shared" si="14" ref="G43:N43">G44+G47+G52</f>
        <v>1516.8000000000002</v>
      </c>
      <c r="H43" s="89">
        <f t="shared" si="14"/>
        <v>1383.2000000000003</v>
      </c>
      <c r="I43" s="89">
        <f t="shared" si="14"/>
        <v>1409.7999999999997</v>
      </c>
      <c r="J43" s="89">
        <f t="shared" si="14"/>
        <v>61.26664</v>
      </c>
      <c r="K43" s="275">
        <f t="shared" si="14"/>
        <v>1578.06664</v>
      </c>
      <c r="L43" s="275">
        <f t="shared" si="14"/>
        <v>0</v>
      </c>
      <c r="M43" s="275">
        <f t="shared" si="14"/>
        <v>0</v>
      </c>
      <c r="N43" s="275">
        <f t="shared" si="14"/>
        <v>1578.06664</v>
      </c>
      <c r="O43" s="275">
        <f>O44+O47+O52</f>
        <v>0</v>
      </c>
      <c r="P43" s="275">
        <f>P44+P47+P52</f>
        <v>0</v>
      </c>
      <c r="Q43" s="487">
        <f>Q44+Q47+Q52</f>
        <v>1578.06664</v>
      </c>
      <c r="R43" s="448">
        <f>R44+R47+R52</f>
        <v>1519.17643</v>
      </c>
      <c r="S43" s="465">
        <f t="shared" si="1"/>
        <v>96.26820512472148</v>
      </c>
    </row>
    <row r="44" spans="1:19" ht="15.75" customHeight="1">
      <c r="A44" s="181" t="s">
        <v>108</v>
      </c>
      <c r="B44" s="141" t="s">
        <v>202</v>
      </c>
      <c r="C44" s="76" t="s">
        <v>198</v>
      </c>
      <c r="D44" s="76" t="s">
        <v>219</v>
      </c>
      <c r="E44" s="77" t="s">
        <v>232</v>
      </c>
      <c r="F44" s="78" t="s">
        <v>105</v>
      </c>
      <c r="G44" s="89">
        <f aca="true" t="shared" si="15" ref="G44:Q44">G45+G46</f>
        <v>1345.92</v>
      </c>
      <c r="H44" s="89">
        <f t="shared" si="15"/>
        <v>1275.8200000000002</v>
      </c>
      <c r="I44" s="89">
        <f t="shared" si="15"/>
        <v>1331.8999999999999</v>
      </c>
      <c r="J44" s="89">
        <f t="shared" si="15"/>
        <v>54.146640000000005</v>
      </c>
      <c r="K44" s="275">
        <f t="shared" si="15"/>
        <v>1400.06664</v>
      </c>
      <c r="L44" s="275">
        <f t="shared" si="15"/>
        <v>0</v>
      </c>
      <c r="M44" s="275">
        <f t="shared" si="15"/>
        <v>0</v>
      </c>
      <c r="N44" s="275">
        <f t="shared" si="15"/>
        <v>1400.06664</v>
      </c>
      <c r="O44" s="275">
        <f t="shared" si="15"/>
        <v>40</v>
      </c>
      <c r="P44" s="275">
        <f t="shared" si="15"/>
        <v>0</v>
      </c>
      <c r="Q44" s="487">
        <f t="shared" si="15"/>
        <v>1440.06664</v>
      </c>
      <c r="R44" s="448">
        <v>1432.63943</v>
      </c>
      <c r="S44" s="444">
        <f t="shared" si="1"/>
        <v>99.48424539575473</v>
      </c>
    </row>
    <row r="45" spans="1:19" ht="15.75" customHeight="1" hidden="1">
      <c r="A45" s="46"/>
      <c r="B45" s="141"/>
      <c r="C45" s="76"/>
      <c r="D45" s="76"/>
      <c r="E45" s="77"/>
      <c r="F45" s="78" t="s">
        <v>215</v>
      </c>
      <c r="G45" s="89">
        <v>1168.5</v>
      </c>
      <c r="H45" s="89">
        <f>1179*0.91</f>
        <v>1072.89</v>
      </c>
      <c r="I45" s="89">
        <f>1179*0.95</f>
        <v>1120.05</v>
      </c>
      <c r="J45" s="89">
        <v>10.26664</v>
      </c>
      <c r="K45" s="275">
        <v>1233.14664</v>
      </c>
      <c r="L45" s="315">
        <v>-54.146</v>
      </c>
      <c r="M45" s="82"/>
      <c r="N45" s="89">
        <f>K45+L45+M45</f>
        <v>1179.00064</v>
      </c>
      <c r="O45" s="89"/>
      <c r="P45" s="275"/>
      <c r="Q45" s="487">
        <f>N45+O45+P45</f>
        <v>1179.00064</v>
      </c>
      <c r="R45" s="448">
        <f>O45+P45+Q45</f>
        <v>1179.00064</v>
      </c>
      <c r="S45" s="444">
        <f t="shared" si="1"/>
        <v>100</v>
      </c>
    </row>
    <row r="46" spans="1:19" ht="14.25" customHeight="1" hidden="1">
      <c r="A46" s="29"/>
      <c r="B46" s="141"/>
      <c r="C46" s="76"/>
      <c r="D46" s="76"/>
      <c r="E46" s="77"/>
      <c r="F46" s="93" t="s">
        <v>217</v>
      </c>
      <c r="G46" s="89">
        <v>177.42</v>
      </c>
      <c r="H46" s="89">
        <f>223*0.91</f>
        <v>202.93</v>
      </c>
      <c r="I46" s="89">
        <f>223*0.95</f>
        <v>211.85</v>
      </c>
      <c r="J46" s="89">
        <v>43.88</v>
      </c>
      <c r="K46" s="275">
        <v>166.92</v>
      </c>
      <c r="L46" s="315">
        <v>54.146</v>
      </c>
      <c r="M46" s="82"/>
      <c r="N46" s="89">
        <f>K46+L46+M46</f>
        <v>221.06599999999997</v>
      </c>
      <c r="O46" s="89">
        <f>40</f>
        <v>40</v>
      </c>
      <c r="P46" s="275"/>
      <c r="Q46" s="487">
        <f>N46+O46+P46</f>
        <v>261.066</v>
      </c>
      <c r="R46" s="448">
        <f>O46+P46+Q46</f>
        <v>301.066</v>
      </c>
      <c r="S46" s="444">
        <f t="shared" si="1"/>
        <v>115.32179602092958</v>
      </c>
    </row>
    <row r="47" spans="1:19" ht="15.75" customHeight="1" thickBot="1">
      <c r="A47" s="192" t="s">
        <v>109</v>
      </c>
      <c r="B47" s="141" t="s">
        <v>202</v>
      </c>
      <c r="C47" s="76" t="s">
        <v>198</v>
      </c>
      <c r="D47" s="76" t="s">
        <v>219</v>
      </c>
      <c r="E47" s="77" t="s">
        <v>232</v>
      </c>
      <c r="F47" s="93" t="s">
        <v>106</v>
      </c>
      <c r="G47" s="89">
        <f aca="true" t="shared" si="16" ref="G47:M47">G48+G53+G54</f>
        <v>132.48000000000002</v>
      </c>
      <c r="H47" s="89">
        <f t="shared" si="16"/>
        <v>70.98</v>
      </c>
      <c r="I47" s="89">
        <f t="shared" si="16"/>
        <v>74.1</v>
      </c>
      <c r="J47" s="89">
        <f t="shared" si="16"/>
        <v>5.52</v>
      </c>
      <c r="K47" s="275">
        <f t="shared" si="16"/>
        <v>138</v>
      </c>
      <c r="L47" s="275">
        <f t="shared" si="16"/>
        <v>0</v>
      </c>
      <c r="M47" s="275">
        <f t="shared" si="16"/>
        <v>0</v>
      </c>
      <c r="N47" s="275">
        <f>N48+N49+N53+N54+N50</f>
        <v>138</v>
      </c>
      <c r="O47" s="275">
        <f>O48+O49+O53+O54+O50</f>
        <v>0</v>
      </c>
      <c r="P47" s="275">
        <f>P48+P49+P53+P54+P50</f>
        <v>0</v>
      </c>
      <c r="Q47" s="488">
        <f>Q48+Q49+Q53+Q54+Q50</f>
        <v>138</v>
      </c>
      <c r="R47" s="489">
        <v>86.537</v>
      </c>
      <c r="S47" s="477">
        <f t="shared" si="1"/>
        <v>62.707971014492756</v>
      </c>
    </row>
    <row r="48" spans="1:19" ht="14.25" customHeight="1" hidden="1">
      <c r="A48" s="29"/>
      <c r="B48" s="141"/>
      <c r="C48" s="76"/>
      <c r="D48" s="76"/>
      <c r="E48" s="77"/>
      <c r="F48" s="93" t="s">
        <v>234</v>
      </c>
      <c r="G48" s="89">
        <v>24.48</v>
      </c>
      <c r="H48" s="89">
        <f>30*0.91</f>
        <v>27.3</v>
      </c>
      <c r="I48" s="89">
        <f>30*0.95</f>
        <v>28.5</v>
      </c>
      <c r="J48" s="89">
        <v>5.52</v>
      </c>
      <c r="K48" s="275">
        <v>25</v>
      </c>
      <c r="L48" s="315"/>
      <c r="M48" s="82"/>
      <c r="N48" s="89">
        <f>K48+L48+M48</f>
        <v>25</v>
      </c>
      <c r="O48" s="89"/>
      <c r="P48" s="275">
        <v>-25</v>
      </c>
      <c r="Q48" s="485">
        <f aca="true" t="shared" si="17" ref="Q48:R51">N48+O48+P48</f>
        <v>0</v>
      </c>
      <c r="R48" s="485">
        <f t="shared" si="17"/>
        <v>-25</v>
      </c>
      <c r="S48" s="486" t="e">
        <f t="shared" si="1"/>
        <v>#DIV/0!</v>
      </c>
    </row>
    <row r="49" spans="1:19" ht="14.25" customHeight="1" hidden="1">
      <c r="A49" s="29"/>
      <c r="B49" s="141"/>
      <c r="C49" s="76"/>
      <c r="D49" s="76"/>
      <c r="E49" s="77"/>
      <c r="F49" s="93" t="s">
        <v>237</v>
      </c>
      <c r="G49" s="89"/>
      <c r="H49" s="89"/>
      <c r="I49" s="89"/>
      <c r="J49" s="89"/>
      <c r="K49" s="275"/>
      <c r="L49" s="315"/>
      <c r="M49" s="82"/>
      <c r="N49" s="89"/>
      <c r="O49" s="89">
        <v>15</v>
      </c>
      <c r="P49" s="275">
        <v>7</v>
      </c>
      <c r="Q49" s="448">
        <f t="shared" si="17"/>
        <v>22</v>
      </c>
      <c r="R49" s="448">
        <f t="shared" si="17"/>
        <v>44</v>
      </c>
      <c r="S49" s="444">
        <f t="shared" si="1"/>
        <v>200</v>
      </c>
    </row>
    <row r="50" spans="1:19" ht="14.25" customHeight="1" hidden="1">
      <c r="A50" s="29"/>
      <c r="B50" s="141"/>
      <c r="C50" s="76"/>
      <c r="D50" s="76"/>
      <c r="E50" s="77"/>
      <c r="F50" s="93" t="s">
        <v>236</v>
      </c>
      <c r="G50" s="89"/>
      <c r="H50" s="89"/>
      <c r="I50" s="89"/>
      <c r="J50" s="89"/>
      <c r="K50" s="275"/>
      <c r="L50" s="315"/>
      <c r="M50" s="82"/>
      <c r="N50" s="89"/>
      <c r="O50" s="89"/>
      <c r="P50" s="275">
        <v>18</v>
      </c>
      <c r="Q50" s="448">
        <f t="shared" si="17"/>
        <v>18</v>
      </c>
      <c r="R50" s="448">
        <f t="shared" si="17"/>
        <v>36</v>
      </c>
      <c r="S50" s="444">
        <f t="shared" si="1"/>
        <v>200</v>
      </c>
    </row>
    <row r="51" spans="1:19" ht="15.75" customHeight="1" hidden="1">
      <c r="A51" s="29"/>
      <c r="B51" s="141"/>
      <c r="C51" s="76"/>
      <c r="D51" s="76"/>
      <c r="E51" s="77"/>
      <c r="F51" s="93" t="s">
        <v>237</v>
      </c>
      <c r="G51" s="89">
        <f>40*0.96</f>
        <v>38.4</v>
      </c>
      <c r="H51" s="89">
        <f>40*0.91</f>
        <v>36.4</v>
      </c>
      <c r="I51" s="89">
        <f>4*0.95</f>
        <v>3.8</v>
      </c>
      <c r="J51" s="89">
        <v>1.6</v>
      </c>
      <c r="K51" s="275">
        <f>G51+J51</f>
        <v>40</v>
      </c>
      <c r="L51" s="315"/>
      <c r="M51" s="82"/>
      <c r="N51" s="89">
        <f>K51+L51+M51</f>
        <v>40</v>
      </c>
      <c r="O51" s="89">
        <v>-40</v>
      </c>
      <c r="P51" s="275"/>
      <c r="Q51" s="448">
        <f t="shared" si="17"/>
        <v>0</v>
      </c>
      <c r="R51" s="448">
        <f t="shared" si="17"/>
        <v>-40</v>
      </c>
      <c r="S51" s="444" t="e">
        <f t="shared" si="1"/>
        <v>#DIV/0!</v>
      </c>
    </row>
    <row r="52" spans="1:19" ht="15.75" customHeight="1" hidden="1" thickBot="1">
      <c r="A52" s="181" t="s">
        <v>110</v>
      </c>
      <c r="B52" s="141" t="s">
        <v>202</v>
      </c>
      <c r="C52" s="76" t="s">
        <v>198</v>
      </c>
      <c r="D52" s="76" t="s">
        <v>219</v>
      </c>
      <c r="E52" s="77" t="s">
        <v>232</v>
      </c>
      <c r="F52" s="93" t="s">
        <v>107</v>
      </c>
      <c r="G52" s="89">
        <f aca="true" t="shared" si="18" ref="G52:Q52">G51</f>
        <v>38.4</v>
      </c>
      <c r="H52" s="89">
        <f t="shared" si="18"/>
        <v>36.4</v>
      </c>
      <c r="I52" s="89">
        <f t="shared" si="18"/>
        <v>3.8</v>
      </c>
      <c r="J52" s="89">
        <f t="shared" si="18"/>
        <v>1.6</v>
      </c>
      <c r="K52" s="275">
        <f t="shared" si="18"/>
        <v>40</v>
      </c>
      <c r="L52" s="275">
        <f t="shared" si="18"/>
        <v>0</v>
      </c>
      <c r="M52" s="275">
        <f t="shared" si="18"/>
        <v>0</v>
      </c>
      <c r="N52" s="275">
        <f t="shared" si="18"/>
        <v>40</v>
      </c>
      <c r="O52" s="275">
        <f t="shared" si="18"/>
        <v>-40</v>
      </c>
      <c r="P52" s="275">
        <f t="shared" si="18"/>
        <v>0</v>
      </c>
      <c r="Q52" s="448">
        <f t="shared" si="18"/>
        <v>0</v>
      </c>
      <c r="R52" s="448">
        <v>0</v>
      </c>
      <c r="S52" s="444" t="e">
        <f t="shared" si="1"/>
        <v>#DIV/0!</v>
      </c>
    </row>
    <row r="53" spans="1:19" ht="15.75" customHeight="1" hidden="1">
      <c r="A53" s="29"/>
      <c r="B53" s="90"/>
      <c r="C53" s="91"/>
      <c r="D53" s="91"/>
      <c r="E53" s="92"/>
      <c r="F53" s="93" t="s">
        <v>238</v>
      </c>
      <c r="G53" s="89">
        <v>80</v>
      </c>
      <c r="H53" s="89">
        <f>20*0.91</f>
        <v>18.2</v>
      </c>
      <c r="I53" s="89">
        <f>20*0.95</f>
        <v>19</v>
      </c>
      <c r="J53" s="89"/>
      <c r="K53" s="275">
        <v>98</v>
      </c>
      <c r="L53" s="315"/>
      <c r="M53" s="82"/>
      <c r="N53" s="89">
        <f>K53+L53+M53</f>
        <v>98</v>
      </c>
      <c r="O53" s="89"/>
      <c r="P53" s="275"/>
      <c r="Q53" s="448">
        <f>N53+O53+P53</f>
        <v>98</v>
      </c>
      <c r="R53" s="448">
        <f>O53+P53+Q53</f>
        <v>98</v>
      </c>
      <c r="S53" s="459">
        <f t="shared" si="1"/>
        <v>100</v>
      </c>
    </row>
    <row r="54" spans="1:19" ht="15.75" customHeight="1" hidden="1" thickBot="1">
      <c r="A54" s="29"/>
      <c r="B54" s="90"/>
      <c r="C54" s="91"/>
      <c r="D54" s="91"/>
      <c r="E54" s="92"/>
      <c r="F54" s="93" t="s">
        <v>239</v>
      </c>
      <c r="G54" s="89">
        <v>28</v>
      </c>
      <c r="H54" s="89">
        <f>28*0.91</f>
        <v>25.48</v>
      </c>
      <c r="I54" s="89">
        <f>28*0.95</f>
        <v>26.599999999999998</v>
      </c>
      <c r="J54" s="89"/>
      <c r="K54" s="275">
        <v>15</v>
      </c>
      <c r="L54" s="315"/>
      <c r="M54" s="82"/>
      <c r="N54" s="89">
        <f>K54+L54+M54</f>
        <v>15</v>
      </c>
      <c r="O54" s="89">
        <f>-15</f>
        <v>-15</v>
      </c>
      <c r="P54" s="275"/>
      <c r="Q54" s="448">
        <f>N54+O54+P54</f>
        <v>0</v>
      </c>
      <c r="R54" s="448">
        <f>O54+P54+Q54</f>
        <v>-15</v>
      </c>
      <c r="S54" s="459" t="e">
        <f t="shared" si="1"/>
        <v>#DIV/0!</v>
      </c>
    </row>
    <row r="55" spans="1:19" s="1" customFormat="1" ht="72" thickBot="1">
      <c r="A55" s="59" t="s">
        <v>140</v>
      </c>
      <c r="B55" s="188" t="s">
        <v>202</v>
      </c>
      <c r="C55" s="189" t="s">
        <v>198</v>
      </c>
      <c r="D55" s="189" t="s">
        <v>240</v>
      </c>
      <c r="E55" s="190"/>
      <c r="F55" s="191"/>
      <c r="G55" s="199">
        <f>G56+G74</f>
        <v>42898.4689</v>
      </c>
      <c r="H55" s="22" t="e">
        <f>H56+#REF!</f>
        <v>#REF!</v>
      </c>
      <c r="I55" s="22" t="e">
        <f>I56+#REF!</f>
        <v>#REF!</v>
      </c>
      <c r="J55" s="199">
        <f aca="true" t="shared" si="19" ref="J55:Q55">J56+J74</f>
        <v>10173.01378</v>
      </c>
      <c r="K55" s="285">
        <f t="shared" si="19"/>
        <v>53071.48268</v>
      </c>
      <c r="L55" s="285">
        <f t="shared" si="19"/>
        <v>-200</v>
      </c>
      <c r="M55" s="285">
        <f t="shared" si="19"/>
        <v>1146.2694099999999</v>
      </c>
      <c r="N55" s="285">
        <f t="shared" si="19"/>
        <v>54017.752089999994</v>
      </c>
      <c r="O55" s="285">
        <f t="shared" si="19"/>
        <v>-309</v>
      </c>
      <c r="P55" s="285">
        <f t="shared" si="19"/>
        <v>726.5354199999998</v>
      </c>
      <c r="Q55" s="478">
        <f t="shared" si="19"/>
        <v>54249.49648</v>
      </c>
      <c r="R55" s="478">
        <f>R56+R74</f>
        <v>53958.58237</v>
      </c>
      <c r="S55" s="479">
        <f t="shared" si="1"/>
        <v>99.46374781541566</v>
      </c>
    </row>
    <row r="56" spans="1:19" s="1" customFormat="1" ht="39.75" customHeight="1">
      <c r="A56" s="65" t="s">
        <v>241</v>
      </c>
      <c r="B56" s="66" t="s">
        <v>202</v>
      </c>
      <c r="C56" s="67" t="s">
        <v>198</v>
      </c>
      <c r="D56" s="67" t="s">
        <v>240</v>
      </c>
      <c r="E56" s="68" t="s">
        <v>205</v>
      </c>
      <c r="F56" s="69"/>
      <c r="G56" s="88">
        <f aca="true" t="shared" si="20" ref="G56:R56">G57</f>
        <v>42073.4689</v>
      </c>
      <c r="H56" s="88">
        <f t="shared" si="20"/>
        <v>38411.495646232805</v>
      </c>
      <c r="I56" s="88">
        <f t="shared" si="20"/>
        <v>40189.10702981221</v>
      </c>
      <c r="J56" s="88">
        <f t="shared" si="20"/>
        <v>9348.01378</v>
      </c>
      <c r="K56" s="290">
        <f t="shared" si="20"/>
        <v>51421.48268</v>
      </c>
      <c r="L56" s="290">
        <f t="shared" si="20"/>
        <v>-200</v>
      </c>
      <c r="M56" s="290">
        <f t="shared" si="20"/>
        <v>1146.2694099999999</v>
      </c>
      <c r="N56" s="290">
        <f t="shared" si="20"/>
        <v>52367.752089999994</v>
      </c>
      <c r="O56" s="290">
        <f t="shared" si="20"/>
        <v>-309</v>
      </c>
      <c r="P56" s="290">
        <f t="shared" si="20"/>
        <v>726.5354199999998</v>
      </c>
      <c r="Q56" s="471">
        <f t="shared" si="20"/>
        <v>52599.49648</v>
      </c>
      <c r="R56" s="472">
        <f t="shared" si="20"/>
        <v>52308.58237</v>
      </c>
      <c r="S56" s="473">
        <f t="shared" si="1"/>
        <v>99.4469260554412</v>
      </c>
    </row>
    <row r="57" spans="1:19" s="1" customFormat="1" ht="16.5" customHeight="1">
      <c r="A57" s="46" t="s">
        <v>220</v>
      </c>
      <c r="B57" s="71" t="s">
        <v>202</v>
      </c>
      <c r="C57" s="72" t="s">
        <v>198</v>
      </c>
      <c r="D57" s="72" t="s">
        <v>240</v>
      </c>
      <c r="E57" s="73" t="s">
        <v>221</v>
      </c>
      <c r="F57" s="74"/>
      <c r="G57" s="96">
        <f aca="true" t="shared" si="21" ref="G57:N57">G58+G62+G71</f>
        <v>42073.4689</v>
      </c>
      <c r="H57" s="96">
        <f t="shared" si="21"/>
        <v>38411.495646232805</v>
      </c>
      <c r="I57" s="96">
        <f t="shared" si="21"/>
        <v>40189.10702981221</v>
      </c>
      <c r="J57" s="96">
        <f t="shared" si="21"/>
        <v>9348.01378</v>
      </c>
      <c r="K57" s="287">
        <f t="shared" si="21"/>
        <v>51421.48268</v>
      </c>
      <c r="L57" s="287">
        <f t="shared" si="21"/>
        <v>-200</v>
      </c>
      <c r="M57" s="287">
        <f t="shared" si="21"/>
        <v>1146.2694099999999</v>
      </c>
      <c r="N57" s="287">
        <f t="shared" si="21"/>
        <v>52367.752089999994</v>
      </c>
      <c r="O57" s="287">
        <f>O58+O62+O71</f>
        <v>-309</v>
      </c>
      <c r="P57" s="287">
        <f>P58+P62+P71</f>
        <v>726.5354199999998</v>
      </c>
      <c r="Q57" s="474">
        <f>Q58+Q62+Q71</f>
        <v>52599.49648</v>
      </c>
      <c r="R57" s="449">
        <f>R58+R62+R71</f>
        <v>52308.58237</v>
      </c>
      <c r="S57" s="465">
        <f t="shared" si="1"/>
        <v>99.4469260554412</v>
      </c>
    </row>
    <row r="58" spans="1:19" ht="15.75" customHeight="1">
      <c r="A58" s="181" t="s">
        <v>108</v>
      </c>
      <c r="B58" s="141" t="s">
        <v>202</v>
      </c>
      <c r="C58" s="76" t="s">
        <v>198</v>
      </c>
      <c r="D58" s="76" t="s">
        <v>240</v>
      </c>
      <c r="E58" s="77" t="s">
        <v>221</v>
      </c>
      <c r="F58" s="78" t="s">
        <v>105</v>
      </c>
      <c r="G58" s="89">
        <f aca="true" t="shared" si="22" ref="G58:N58">G59+G60+G61</f>
        <v>32351.78282</v>
      </c>
      <c r="H58" s="89">
        <f t="shared" si="22"/>
        <v>30667.704136232802</v>
      </c>
      <c r="I58" s="89">
        <f t="shared" si="22"/>
        <v>31645.557529812202</v>
      </c>
      <c r="J58" s="89">
        <f t="shared" si="22"/>
        <v>6971.37859</v>
      </c>
      <c r="K58" s="275">
        <f t="shared" si="22"/>
        <v>39323.16141</v>
      </c>
      <c r="L58" s="275">
        <f t="shared" si="22"/>
        <v>0</v>
      </c>
      <c r="M58" s="275">
        <f t="shared" si="22"/>
        <v>417.52241</v>
      </c>
      <c r="N58" s="275">
        <f t="shared" si="22"/>
        <v>39740.68382</v>
      </c>
      <c r="O58" s="275">
        <f>O59+O60+O61</f>
        <v>0</v>
      </c>
      <c r="P58" s="275">
        <f>P59+P60+P61</f>
        <v>-207.30000000000004</v>
      </c>
      <c r="Q58" s="487">
        <v>39421.59292</v>
      </c>
      <c r="R58" s="448">
        <v>39155.16244</v>
      </c>
      <c r="S58" s="444">
        <f t="shared" si="1"/>
        <v>99.32415090242375</v>
      </c>
    </row>
    <row r="59" spans="1:19" ht="12.75" hidden="1">
      <c r="A59" s="181"/>
      <c r="B59" s="141"/>
      <c r="C59" s="76"/>
      <c r="D59" s="76"/>
      <c r="E59" s="77"/>
      <c r="F59" s="78" t="s">
        <v>215</v>
      </c>
      <c r="G59" s="89">
        <v>24834.3186</v>
      </c>
      <c r="H59" s="89">
        <f>25871.56204*0.91</f>
        <v>23543.1214564</v>
      </c>
      <c r="I59" s="89">
        <f>25871.56204*0.95</f>
        <v>24577.983938</v>
      </c>
      <c r="J59" s="89">
        <v>5597.14192</v>
      </c>
      <c r="K59" s="275">
        <v>30431.46052</v>
      </c>
      <c r="L59" s="315"/>
      <c r="M59" s="82">
        <v>287.39056</v>
      </c>
      <c r="N59" s="89">
        <f>K59+L59+M59</f>
        <v>30718.85108</v>
      </c>
      <c r="O59" s="89"/>
      <c r="P59" s="275">
        <v>160.2</v>
      </c>
      <c r="Q59" s="487">
        <f aca="true" t="shared" si="23" ref="Q59:R61">N59+O59+P59</f>
        <v>30879.05108</v>
      </c>
      <c r="R59" s="448">
        <f t="shared" si="23"/>
        <v>31039.251080000002</v>
      </c>
      <c r="S59" s="444">
        <f t="shared" si="1"/>
        <v>100.5187983257159</v>
      </c>
    </row>
    <row r="60" spans="1:19" ht="12.75" hidden="1">
      <c r="A60" s="181"/>
      <c r="B60" s="141"/>
      <c r="C60" s="76"/>
      <c r="D60" s="76"/>
      <c r="E60" s="77"/>
      <c r="F60" s="78" t="s">
        <v>216</v>
      </c>
      <c r="G60" s="89">
        <v>17.5</v>
      </c>
      <c r="H60" s="89">
        <f>16*0.91</f>
        <v>14.56</v>
      </c>
      <c r="I60" s="89">
        <f>17*0.95</f>
        <v>16.15</v>
      </c>
      <c r="J60" s="89"/>
      <c r="K60" s="275">
        <v>17.5</v>
      </c>
      <c r="L60" s="315"/>
      <c r="M60" s="82"/>
      <c r="N60" s="89">
        <f>K60+L60+M60</f>
        <v>17.5</v>
      </c>
      <c r="O60" s="89"/>
      <c r="P60" s="275">
        <v>-15.9</v>
      </c>
      <c r="Q60" s="487">
        <f t="shared" si="23"/>
        <v>1.5999999999999996</v>
      </c>
      <c r="R60" s="448">
        <f t="shared" si="23"/>
        <v>-14.3</v>
      </c>
      <c r="S60" s="444">
        <f t="shared" si="1"/>
        <v>-893.7500000000002</v>
      </c>
    </row>
    <row r="61" spans="1:19" ht="12.75" hidden="1">
      <c r="A61" s="181"/>
      <c r="B61" s="141"/>
      <c r="C61" s="76"/>
      <c r="D61" s="76"/>
      <c r="E61" s="77"/>
      <c r="F61" s="78" t="s">
        <v>217</v>
      </c>
      <c r="G61" s="89">
        <v>7499.96422</v>
      </c>
      <c r="H61" s="89">
        <f>H59*0.302</f>
        <v>7110.022679832799</v>
      </c>
      <c r="I61" s="89">
        <f>I59*0.302*0.95</f>
        <v>7051.423591812199</v>
      </c>
      <c r="J61" s="89">
        <v>1374.23667</v>
      </c>
      <c r="K61" s="275">
        <v>8874.20089</v>
      </c>
      <c r="L61" s="315"/>
      <c r="M61" s="82">
        <f>86.79195+43.3399</f>
        <v>130.13185</v>
      </c>
      <c r="N61" s="89">
        <f>K61+L61+M61</f>
        <v>9004.33274</v>
      </c>
      <c r="O61" s="89"/>
      <c r="P61" s="275">
        <f>-400+48.4</f>
        <v>-351.6</v>
      </c>
      <c r="Q61" s="487">
        <f t="shared" si="23"/>
        <v>8652.73274</v>
      </c>
      <c r="R61" s="448">
        <f t="shared" si="23"/>
        <v>8301.13274</v>
      </c>
      <c r="S61" s="444">
        <f t="shared" si="1"/>
        <v>95.93654385770385</v>
      </c>
    </row>
    <row r="62" spans="1:19" ht="15.75" customHeight="1">
      <c r="A62" s="192" t="s">
        <v>109</v>
      </c>
      <c r="B62" s="141" t="s">
        <v>202</v>
      </c>
      <c r="C62" s="76" t="s">
        <v>198</v>
      </c>
      <c r="D62" s="76" t="s">
        <v>240</v>
      </c>
      <c r="E62" s="77" t="s">
        <v>221</v>
      </c>
      <c r="F62" s="78" t="s">
        <v>106</v>
      </c>
      <c r="G62" s="89">
        <f aca="true" t="shared" si="24" ref="G62:N62">G63+G64+G65+G66+G67+G68+G72+G73+G69</f>
        <v>9094.681279999999</v>
      </c>
      <c r="H62" s="89">
        <f t="shared" si="24"/>
        <v>7118.536880000001</v>
      </c>
      <c r="I62" s="89">
        <f t="shared" si="24"/>
        <v>7858.8275</v>
      </c>
      <c r="J62" s="89">
        <f t="shared" si="24"/>
        <v>2978.13999</v>
      </c>
      <c r="K62" s="275">
        <f t="shared" si="24"/>
        <v>12072.82127</v>
      </c>
      <c r="L62" s="275">
        <f t="shared" si="24"/>
        <v>-200</v>
      </c>
      <c r="M62" s="275">
        <f t="shared" si="24"/>
        <v>728.747</v>
      </c>
      <c r="N62" s="275">
        <f t="shared" si="24"/>
        <v>12601.56827</v>
      </c>
      <c r="O62" s="275">
        <f>O63+O64+O65+O66+O67+O68+O72+O73+O69</f>
        <v>-309</v>
      </c>
      <c r="P62" s="275">
        <f>P63+P64+P65+P66+P67+P68+P72+P73+P69</f>
        <v>933.8354199999999</v>
      </c>
      <c r="Q62" s="487">
        <v>13152.40356</v>
      </c>
      <c r="R62" s="448">
        <v>13131.01893</v>
      </c>
      <c r="S62" s="444">
        <f t="shared" si="1"/>
        <v>99.83740895797148</v>
      </c>
    </row>
    <row r="63" spans="1:19" ht="15.75" customHeight="1" hidden="1">
      <c r="A63" s="181"/>
      <c r="B63" s="141"/>
      <c r="C63" s="76"/>
      <c r="D63" s="76"/>
      <c r="E63" s="77"/>
      <c r="F63" s="78" t="s">
        <v>233</v>
      </c>
      <c r="G63" s="89">
        <v>567.475</v>
      </c>
      <c r="H63" s="89">
        <f>598.119*0.91</f>
        <v>544.2882900000001</v>
      </c>
      <c r="I63" s="89">
        <f>629.221*0.95</f>
        <v>597.75995</v>
      </c>
      <c r="J63" s="89">
        <v>25.355</v>
      </c>
      <c r="K63" s="275">
        <f>G63+J63</f>
        <v>592.83</v>
      </c>
      <c r="L63" s="315"/>
      <c r="M63" s="82">
        <v>52</v>
      </c>
      <c r="N63" s="436">
        <f>K63+L63+M63</f>
        <v>644.83</v>
      </c>
      <c r="O63" s="436"/>
      <c r="P63" s="436">
        <v>15.9</v>
      </c>
      <c r="Q63" s="490">
        <f>N63+O63+P63</f>
        <v>660.73</v>
      </c>
      <c r="R63" s="457">
        <f>O63+P63+Q63</f>
        <v>676.63</v>
      </c>
      <c r="S63" s="444">
        <f t="shared" si="1"/>
        <v>102.40642925249345</v>
      </c>
    </row>
    <row r="64" spans="1:19" ht="12.75" hidden="1">
      <c r="A64" s="181"/>
      <c r="B64" s="141"/>
      <c r="C64" s="76"/>
      <c r="D64" s="76"/>
      <c r="E64" s="77"/>
      <c r="F64" s="78" t="s">
        <v>234</v>
      </c>
      <c r="G64" s="89">
        <v>12.2</v>
      </c>
      <c r="H64" s="89">
        <f>10.54*0.91</f>
        <v>9.5914</v>
      </c>
      <c r="I64" s="89">
        <f>11.088*0.95</f>
        <v>10.533599999999998</v>
      </c>
      <c r="J64" s="89"/>
      <c r="K64" s="275">
        <f aca="true" t="shared" si="25" ref="K64:K70">G64+J64</f>
        <v>12.2</v>
      </c>
      <c r="L64" s="315"/>
      <c r="M64" s="82"/>
      <c r="N64" s="436">
        <f aca="true" t="shared" si="26" ref="N64:R70">K64+L64+M64</f>
        <v>12.2</v>
      </c>
      <c r="O64" s="436"/>
      <c r="P64" s="436"/>
      <c r="Q64" s="490">
        <f t="shared" si="26"/>
        <v>12.2</v>
      </c>
      <c r="R64" s="457">
        <f t="shared" si="26"/>
        <v>12.2</v>
      </c>
      <c r="S64" s="444">
        <f t="shared" si="1"/>
        <v>100</v>
      </c>
    </row>
    <row r="65" spans="1:19" ht="12.75" hidden="1">
      <c r="A65" s="181"/>
      <c r="B65" s="141"/>
      <c r="C65" s="76"/>
      <c r="D65" s="76"/>
      <c r="E65" s="77"/>
      <c r="F65" s="78" t="s">
        <v>244</v>
      </c>
      <c r="G65" s="89">
        <v>777.45</v>
      </c>
      <c r="H65" s="89">
        <f>857.843*0.91</f>
        <v>780.63713</v>
      </c>
      <c r="I65" s="89">
        <f>953.793*0.95</f>
        <v>906.10335</v>
      </c>
      <c r="J65" s="89">
        <v>-32.87</v>
      </c>
      <c r="K65" s="275">
        <f t="shared" si="25"/>
        <v>744.58</v>
      </c>
      <c r="L65" s="315"/>
      <c r="M65" s="82"/>
      <c r="N65" s="436">
        <f t="shared" si="26"/>
        <v>744.58</v>
      </c>
      <c r="O65" s="436"/>
      <c r="P65" s="436"/>
      <c r="Q65" s="490">
        <f t="shared" si="26"/>
        <v>744.58</v>
      </c>
      <c r="R65" s="457">
        <f t="shared" si="26"/>
        <v>744.58</v>
      </c>
      <c r="S65" s="444">
        <f t="shared" si="1"/>
        <v>100</v>
      </c>
    </row>
    <row r="66" spans="1:19" ht="12.75" hidden="1">
      <c r="A66" s="181"/>
      <c r="B66" s="141"/>
      <c r="C66" s="76"/>
      <c r="D66" s="76"/>
      <c r="E66" s="77"/>
      <c r="F66" s="78" t="s">
        <v>245</v>
      </c>
      <c r="G66" s="89">
        <v>916.5277</v>
      </c>
      <c r="H66" s="89">
        <f>761.869*0.91</f>
        <v>693.30079</v>
      </c>
      <c r="I66" s="89">
        <f>799.2*0.95</f>
        <v>759.24</v>
      </c>
      <c r="J66" s="89">
        <v>-157.74758</v>
      </c>
      <c r="K66" s="275">
        <f t="shared" si="25"/>
        <v>758.78012</v>
      </c>
      <c r="L66" s="315"/>
      <c r="M66" s="82"/>
      <c r="N66" s="436">
        <f t="shared" si="26"/>
        <v>758.78012</v>
      </c>
      <c r="O66" s="436">
        <v>67</v>
      </c>
      <c r="P66" s="436"/>
      <c r="Q66" s="490">
        <f t="shared" si="26"/>
        <v>825.78012</v>
      </c>
      <c r="R66" s="457">
        <f t="shared" si="26"/>
        <v>892.78012</v>
      </c>
      <c r="S66" s="444">
        <f t="shared" si="1"/>
        <v>108.113539957828</v>
      </c>
    </row>
    <row r="67" spans="1:19" ht="12.75" hidden="1">
      <c r="A67" s="181"/>
      <c r="B67" s="141"/>
      <c r="C67" s="76"/>
      <c r="D67" s="76"/>
      <c r="E67" s="77"/>
      <c r="F67" s="78" t="s">
        <v>235</v>
      </c>
      <c r="G67" s="89">
        <v>550.891</v>
      </c>
      <c r="H67" s="89">
        <f>475.934*0.91</f>
        <v>433.09994000000006</v>
      </c>
      <c r="I67" s="89">
        <f>500.683*0.95</f>
        <v>475.64885</v>
      </c>
      <c r="J67" s="89">
        <v>479.67488</v>
      </c>
      <c r="K67" s="275">
        <f t="shared" si="25"/>
        <v>1030.5658799999999</v>
      </c>
      <c r="L67" s="315"/>
      <c r="M67" s="82">
        <v>42</v>
      </c>
      <c r="N67" s="436">
        <f t="shared" si="26"/>
        <v>1072.5658799999999</v>
      </c>
      <c r="O67" s="436"/>
      <c r="P67" s="436"/>
      <c r="Q67" s="490">
        <f t="shared" si="26"/>
        <v>1072.5658799999999</v>
      </c>
      <c r="R67" s="457">
        <f t="shared" si="26"/>
        <v>1072.5658799999999</v>
      </c>
      <c r="S67" s="444">
        <f t="shared" si="1"/>
        <v>100</v>
      </c>
    </row>
    <row r="68" spans="1:19" ht="12.75" hidden="1">
      <c r="A68" s="181"/>
      <c r="B68" s="141"/>
      <c r="C68" s="76"/>
      <c r="D68" s="76"/>
      <c r="E68" s="77"/>
      <c r="F68" s="78" t="s">
        <v>236</v>
      </c>
      <c r="G68" s="89">
        <v>3920.59088</v>
      </c>
      <c r="H68" s="89">
        <f>3132.5*0.91</f>
        <v>2850.5750000000003</v>
      </c>
      <c r="I68" s="89">
        <f>3295.4*0.95</f>
        <v>3130.63</v>
      </c>
      <c r="J68" s="89">
        <v>1014.82485</v>
      </c>
      <c r="K68" s="275">
        <f t="shared" si="25"/>
        <v>4935.415730000001</v>
      </c>
      <c r="L68" s="315">
        <v>-200</v>
      </c>
      <c r="M68" s="82">
        <f>200+9+237</f>
        <v>446</v>
      </c>
      <c r="N68" s="436">
        <f t="shared" si="26"/>
        <v>5181.415730000001</v>
      </c>
      <c r="O68" s="436">
        <f>-309-167</f>
        <v>-476</v>
      </c>
      <c r="P68" s="436">
        <f>409+119.41739</f>
        <v>528.41739</v>
      </c>
      <c r="Q68" s="490">
        <f t="shared" si="26"/>
        <v>5233.83312</v>
      </c>
      <c r="R68" s="457">
        <f t="shared" si="26"/>
        <v>5286.25051</v>
      </c>
      <c r="S68" s="444">
        <f t="shared" si="1"/>
        <v>101.0015105334501</v>
      </c>
    </row>
    <row r="69" spans="1:19" ht="12.75" hidden="1">
      <c r="A69" s="181"/>
      <c r="B69" s="141"/>
      <c r="C69" s="76"/>
      <c r="D69" s="76"/>
      <c r="E69" s="77"/>
      <c r="F69" s="78" t="s">
        <v>237</v>
      </c>
      <c r="G69" s="89">
        <v>508.50554</v>
      </c>
      <c r="H69" s="89"/>
      <c r="I69" s="89"/>
      <c r="J69" s="89"/>
      <c r="K69" s="275">
        <f t="shared" si="25"/>
        <v>508.50554</v>
      </c>
      <c r="L69" s="315">
        <v>-100</v>
      </c>
      <c r="M69" s="82">
        <v>70</v>
      </c>
      <c r="N69" s="436">
        <f t="shared" si="26"/>
        <v>478.50554</v>
      </c>
      <c r="O69" s="436">
        <v>100</v>
      </c>
      <c r="P69" s="436">
        <v>300</v>
      </c>
      <c r="Q69" s="490">
        <f t="shared" si="26"/>
        <v>878.50554</v>
      </c>
      <c r="R69" s="457">
        <f t="shared" si="26"/>
        <v>1278.50554</v>
      </c>
      <c r="S69" s="444">
        <f t="shared" si="1"/>
        <v>145.53186995269263</v>
      </c>
    </row>
    <row r="70" spans="1:19" ht="15.75" customHeight="1" hidden="1">
      <c r="A70" s="181"/>
      <c r="B70" s="141"/>
      <c r="C70" s="76"/>
      <c r="D70" s="76"/>
      <c r="E70" s="77"/>
      <c r="F70" s="78" t="s">
        <v>237</v>
      </c>
      <c r="G70" s="89">
        <v>627.0048</v>
      </c>
      <c r="H70" s="89">
        <f>687.093*0.91</f>
        <v>625.25463</v>
      </c>
      <c r="I70" s="89">
        <f>720.76*0.95</f>
        <v>684.722</v>
      </c>
      <c r="J70" s="89">
        <f>-587.0048-14.5</f>
        <v>-601.5048</v>
      </c>
      <c r="K70" s="275">
        <f t="shared" si="25"/>
        <v>25.5</v>
      </c>
      <c r="L70" s="315"/>
      <c r="M70" s="82"/>
      <c r="N70" s="436">
        <f t="shared" si="26"/>
        <v>25.5</v>
      </c>
      <c r="O70" s="436"/>
      <c r="P70" s="436"/>
      <c r="Q70" s="490">
        <f t="shared" si="26"/>
        <v>25.5</v>
      </c>
      <c r="R70" s="457">
        <f t="shared" si="26"/>
        <v>25.5</v>
      </c>
      <c r="S70" s="444">
        <f t="shared" si="1"/>
        <v>100</v>
      </c>
    </row>
    <row r="71" spans="1:19" ht="15.75" customHeight="1" thickBot="1">
      <c r="A71" s="194" t="s">
        <v>110</v>
      </c>
      <c r="B71" s="210" t="s">
        <v>202</v>
      </c>
      <c r="C71" s="118" t="s">
        <v>198</v>
      </c>
      <c r="D71" s="118" t="s">
        <v>240</v>
      </c>
      <c r="E71" s="124" t="s">
        <v>221</v>
      </c>
      <c r="F71" s="119" t="s">
        <v>107</v>
      </c>
      <c r="G71" s="94">
        <f aca="true" t="shared" si="27" ref="G71:Q71">G70</f>
        <v>627.0048</v>
      </c>
      <c r="H71" s="94">
        <f t="shared" si="27"/>
        <v>625.25463</v>
      </c>
      <c r="I71" s="94">
        <f t="shared" si="27"/>
        <v>684.722</v>
      </c>
      <c r="J71" s="94">
        <f t="shared" si="27"/>
        <v>-601.5048</v>
      </c>
      <c r="K71" s="291">
        <f t="shared" si="27"/>
        <v>25.5</v>
      </c>
      <c r="L71" s="291">
        <f t="shared" si="27"/>
        <v>0</v>
      </c>
      <c r="M71" s="291">
        <f t="shared" si="27"/>
        <v>0</v>
      </c>
      <c r="N71" s="291">
        <f t="shared" si="27"/>
        <v>25.5</v>
      </c>
      <c r="O71" s="291">
        <f t="shared" si="27"/>
        <v>0</v>
      </c>
      <c r="P71" s="291">
        <f t="shared" si="27"/>
        <v>0</v>
      </c>
      <c r="Q71" s="488">
        <f t="shared" si="27"/>
        <v>25.5</v>
      </c>
      <c r="R71" s="489">
        <v>22.401</v>
      </c>
      <c r="S71" s="477">
        <f t="shared" si="1"/>
        <v>87.84705882352941</v>
      </c>
    </row>
    <row r="72" spans="1:19" ht="13.5" customHeight="1" hidden="1">
      <c r="A72" s="193"/>
      <c r="B72" s="99"/>
      <c r="C72" s="100"/>
      <c r="D72" s="100"/>
      <c r="E72" s="110"/>
      <c r="F72" s="101" t="s">
        <v>238</v>
      </c>
      <c r="G72" s="102">
        <v>135.78356</v>
      </c>
      <c r="H72" s="102">
        <f>117.085*0.91</f>
        <v>106.54735</v>
      </c>
      <c r="I72" s="102">
        <f>122.822*0.95</f>
        <v>116.6809</v>
      </c>
      <c r="J72" s="102">
        <v>1224.99044</v>
      </c>
      <c r="K72" s="280">
        <f>G72+J72</f>
        <v>1360.7740000000001</v>
      </c>
      <c r="L72" s="331">
        <v>100</v>
      </c>
      <c r="M72" s="137">
        <v>42</v>
      </c>
      <c r="N72" s="102">
        <f>K72+L72+M72</f>
        <v>1502.7740000000001</v>
      </c>
      <c r="O72" s="102"/>
      <c r="P72" s="280"/>
      <c r="Q72" s="485">
        <f>N72+O72+P72</f>
        <v>1502.7740000000001</v>
      </c>
      <c r="R72" s="485">
        <f>O72+P72+Q72</f>
        <v>1502.7740000000001</v>
      </c>
      <c r="S72" s="470">
        <f t="shared" si="1"/>
        <v>100</v>
      </c>
    </row>
    <row r="73" spans="1:19" ht="15.75" customHeight="1" hidden="1" thickBot="1">
      <c r="A73" s="194"/>
      <c r="B73" s="117"/>
      <c r="C73" s="118"/>
      <c r="D73" s="118"/>
      <c r="E73" s="124"/>
      <c r="F73" s="119" t="s">
        <v>239</v>
      </c>
      <c r="G73" s="94">
        <v>1705.2576</v>
      </c>
      <c r="H73" s="94">
        <f>1868.678*0.91</f>
        <v>1700.4969800000001</v>
      </c>
      <c r="I73" s="94">
        <f>1960.243*0.95</f>
        <v>1862.23085</v>
      </c>
      <c r="J73" s="94">
        <v>423.9124</v>
      </c>
      <c r="K73" s="273">
        <f>G73+J73</f>
        <v>2129.17</v>
      </c>
      <c r="L73" s="315"/>
      <c r="M73" s="82">
        <v>76.747</v>
      </c>
      <c r="N73" s="89">
        <f>K73+L73+M73</f>
        <v>2205.917</v>
      </c>
      <c r="O73" s="89"/>
      <c r="P73" s="275">
        <v>89.51803</v>
      </c>
      <c r="Q73" s="448">
        <f>N73+O73+P73</f>
        <v>2295.43503</v>
      </c>
      <c r="R73" s="448">
        <f>O73+P73+Q73</f>
        <v>2384.9530600000003</v>
      </c>
      <c r="S73" s="459">
        <f t="shared" si="1"/>
        <v>103.89982852182926</v>
      </c>
    </row>
    <row r="74" spans="1:19" ht="89.25">
      <c r="A74" s="260" t="s">
        <v>131</v>
      </c>
      <c r="B74" s="99" t="s">
        <v>202</v>
      </c>
      <c r="C74" s="112" t="s">
        <v>198</v>
      </c>
      <c r="D74" s="112" t="s">
        <v>240</v>
      </c>
      <c r="E74" s="113" t="s">
        <v>130</v>
      </c>
      <c r="F74" s="104"/>
      <c r="G74" s="88">
        <f>G75</f>
        <v>825</v>
      </c>
      <c r="H74" s="137"/>
      <c r="I74" s="137"/>
      <c r="J74" s="88">
        <f aca="true" t="shared" si="28" ref="J74:R74">J75</f>
        <v>825</v>
      </c>
      <c r="K74" s="290">
        <f t="shared" si="28"/>
        <v>1650</v>
      </c>
      <c r="L74" s="290">
        <f t="shared" si="28"/>
        <v>0</v>
      </c>
      <c r="M74" s="290">
        <f t="shared" si="28"/>
        <v>0</v>
      </c>
      <c r="N74" s="290">
        <f t="shared" si="28"/>
        <v>1650</v>
      </c>
      <c r="O74" s="290">
        <f t="shared" si="28"/>
        <v>0</v>
      </c>
      <c r="P74" s="290">
        <f t="shared" si="28"/>
        <v>0</v>
      </c>
      <c r="Q74" s="449">
        <f t="shared" si="28"/>
        <v>1650</v>
      </c>
      <c r="R74" s="449">
        <f t="shared" si="28"/>
        <v>1650</v>
      </c>
      <c r="S74" s="465">
        <f t="shared" si="1"/>
        <v>100</v>
      </c>
    </row>
    <row r="75" spans="1:19" ht="15.75" customHeight="1" thickBot="1">
      <c r="A75" s="194" t="s">
        <v>109</v>
      </c>
      <c r="B75" s="210" t="s">
        <v>202</v>
      </c>
      <c r="C75" s="118" t="s">
        <v>198</v>
      </c>
      <c r="D75" s="118" t="s">
        <v>240</v>
      </c>
      <c r="E75" s="124" t="s">
        <v>130</v>
      </c>
      <c r="F75" s="119" t="s">
        <v>106</v>
      </c>
      <c r="G75" s="94">
        <v>825</v>
      </c>
      <c r="H75" s="87"/>
      <c r="I75" s="87"/>
      <c r="J75" s="94">
        <v>825</v>
      </c>
      <c r="K75" s="291">
        <f>G75+J75</f>
        <v>1650</v>
      </c>
      <c r="L75" s="329"/>
      <c r="M75" s="87"/>
      <c r="N75" s="94">
        <f>K75+L75+M75</f>
        <v>1650</v>
      </c>
      <c r="O75" s="94"/>
      <c r="P75" s="291"/>
      <c r="Q75" s="460">
        <f>N75+O75+P75</f>
        <v>1650</v>
      </c>
      <c r="R75" s="460">
        <f>O75+P75+Q75</f>
        <v>1650</v>
      </c>
      <c r="S75" s="491">
        <f t="shared" si="1"/>
        <v>100</v>
      </c>
    </row>
    <row r="76" spans="1:19" ht="16.5" customHeight="1" thickBot="1">
      <c r="A76" s="17" t="s">
        <v>531</v>
      </c>
      <c r="B76" s="24" t="s">
        <v>202</v>
      </c>
      <c r="C76" s="25" t="s">
        <v>198</v>
      </c>
      <c r="D76" s="25" t="s">
        <v>249</v>
      </c>
      <c r="E76" s="26"/>
      <c r="F76" s="27"/>
      <c r="G76" s="201"/>
      <c r="H76" s="28"/>
      <c r="I76" s="28"/>
      <c r="J76" s="201"/>
      <c r="K76" s="289"/>
      <c r="L76" s="289"/>
      <c r="M76" s="289"/>
      <c r="N76" s="289">
        <f aca="true" t="shared" si="29" ref="N76:R78">N77</f>
        <v>0</v>
      </c>
      <c r="O76" s="289">
        <f t="shared" si="29"/>
        <v>0</v>
      </c>
      <c r="P76" s="289">
        <f t="shared" si="29"/>
        <v>0.7</v>
      </c>
      <c r="Q76" s="482">
        <f t="shared" si="29"/>
        <v>0.66</v>
      </c>
      <c r="R76" s="483">
        <f t="shared" si="29"/>
        <v>0.66</v>
      </c>
      <c r="S76" s="484">
        <f t="shared" si="1"/>
        <v>100</v>
      </c>
    </row>
    <row r="77" spans="1:19" ht="16.5" customHeight="1">
      <c r="A77" s="29" t="s">
        <v>250</v>
      </c>
      <c r="B77" s="30" t="s">
        <v>202</v>
      </c>
      <c r="C77" s="31" t="s">
        <v>198</v>
      </c>
      <c r="D77" s="31" t="s">
        <v>249</v>
      </c>
      <c r="E77" s="132" t="s">
        <v>251</v>
      </c>
      <c r="F77" s="32"/>
      <c r="G77" s="257"/>
      <c r="H77" s="359"/>
      <c r="I77" s="359"/>
      <c r="J77" s="257"/>
      <c r="K77" s="281"/>
      <c r="L77" s="281"/>
      <c r="M77" s="281"/>
      <c r="N77" s="281">
        <f t="shared" si="29"/>
        <v>0</v>
      </c>
      <c r="O77" s="281">
        <f t="shared" si="29"/>
        <v>0</v>
      </c>
      <c r="P77" s="281">
        <f t="shared" si="29"/>
        <v>0.7</v>
      </c>
      <c r="Q77" s="480">
        <f t="shared" si="29"/>
        <v>0.66</v>
      </c>
      <c r="R77" s="480">
        <f t="shared" si="29"/>
        <v>0.66</v>
      </c>
      <c r="S77" s="481">
        <f t="shared" si="1"/>
        <v>100</v>
      </c>
    </row>
    <row r="78" spans="1:19" ht="38.25">
      <c r="A78" s="46" t="s">
        <v>532</v>
      </c>
      <c r="B78" s="71" t="s">
        <v>202</v>
      </c>
      <c r="C78" s="72" t="s">
        <v>198</v>
      </c>
      <c r="D78" s="72" t="s">
        <v>249</v>
      </c>
      <c r="E78" s="73" t="s">
        <v>533</v>
      </c>
      <c r="F78" s="74"/>
      <c r="G78" s="96"/>
      <c r="H78" s="75"/>
      <c r="I78" s="75"/>
      <c r="J78" s="96"/>
      <c r="K78" s="287"/>
      <c r="L78" s="287"/>
      <c r="M78" s="287"/>
      <c r="N78" s="287">
        <f t="shared" si="29"/>
        <v>0</v>
      </c>
      <c r="O78" s="287">
        <f t="shared" si="29"/>
        <v>0</v>
      </c>
      <c r="P78" s="287">
        <f t="shared" si="29"/>
        <v>0.7</v>
      </c>
      <c r="Q78" s="449">
        <f t="shared" si="29"/>
        <v>0.66</v>
      </c>
      <c r="R78" s="449">
        <f t="shared" si="29"/>
        <v>0.66</v>
      </c>
      <c r="S78" s="465">
        <f t="shared" si="1"/>
        <v>100</v>
      </c>
    </row>
    <row r="79" spans="1:19" ht="15.75" customHeight="1" thickBot="1">
      <c r="A79" s="192" t="s">
        <v>550</v>
      </c>
      <c r="B79" s="220" t="s">
        <v>202</v>
      </c>
      <c r="C79" s="79" t="s">
        <v>198</v>
      </c>
      <c r="D79" s="79" t="s">
        <v>249</v>
      </c>
      <c r="E79" s="80" t="s">
        <v>533</v>
      </c>
      <c r="F79" s="81" t="s">
        <v>551</v>
      </c>
      <c r="G79" s="205"/>
      <c r="H79" s="134"/>
      <c r="I79" s="134"/>
      <c r="J79" s="205"/>
      <c r="K79" s="174"/>
      <c r="L79" s="174"/>
      <c r="M79" s="174"/>
      <c r="N79" s="174"/>
      <c r="O79" s="174"/>
      <c r="P79" s="174">
        <v>0.7</v>
      </c>
      <c r="Q79" s="448">
        <v>0.66</v>
      </c>
      <c r="R79" s="448">
        <v>0.66</v>
      </c>
      <c r="S79" s="444">
        <f aca="true" t="shared" si="30" ref="S79:S142">R79/Q79*100</f>
        <v>100</v>
      </c>
    </row>
    <row r="80" spans="1:19" ht="0.75" customHeight="1" hidden="1" thickBot="1">
      <c r="A80" s="192"/>
      <c r="B80" s="220"/>
      <c r="C80" s="79"/>
      <c r="D80" s="79"/>
      <c r="E80" s="80"/>
      <c r="F80" s="81" t="s">
        <v>233</v>
      </c>
      <c r="G80" s="205"/>
      <c r="H80" s="134"/>
      <c r="I80" s="134"/>
      <c r="J80" s="205"/>
      <c r="K80" s="174"/>
      <c r="L80" s="174"/>
      <c r="M80" s="174"/>
      <c r="N80" s="174"/>
      <c r="O80" s="174"/>
      <c r="P80" s="174"/>
      <c r="Q80" s="448"/>
      <c r="R80" s="448"/>
      <c r="S80" s="459" t="e">
        <f t="shared" si="30"/>
        <v>#DIV/0!</v>
      </c>
    </row>
    <row r="81" spans="1:19" ht="15" customHeight="1" hidden="1" thickBot="1">
      <c r="A81" s="192"/>
      <c r="B81" s="220"/>
      <c r="C81" s="79"/>
      <c r="D81" s="79"/>
      <c r="E81" s="80"/>
      <c r="F81" s="81" t="s">
        <v>239</v>
      </c>
      <c r="G81" s="205"/>
      <c r="H81" s="134"/>
      <c r="I81" s="134"/>
      <c r="J81" s="205"/>
      <c r="K81" s="174"/>
      <c r="L81" s="174"/>
      <c r="M81" s="174"/>
      <c r="N81" s="174"/>
      <c r="O81" s="174"/>
      <c r="P81" s="174"/>
      <c r="Q81" s="460"/>
      <c r="R81" s="460"/>
      <c r="S81" s="461" t="e">
        <f t="shared" si="30"/>
        <v>#DIV/0!</v>
      </c>
    </row>
    <row r="82" spans="1:19" s="1" customFormat="1" ht="57.75" thickBot="1">
      <c r="A82" s="17" t="s">
        <v>252</v>
      </c>
      <c r="B82" s="18" t="s">
        <v>201</v>
      </c>
      <c r="C82" s="19" t="s">
        <v>198</v>
      </c>
      <c r="D82" s="19" t="s">
        <v>253</v>
      </c>
      <c r="E82" s="20"/>
      <c r="F82" s="21"/>
      <c r="G82" s="199">
        <f aca="true" t="shared" si="31" ref="G82:N82">G83+G97</f>
        <v>13575.39347</v>
      </c>
      <c r="H82" s="22">
        <f t="shared" si="31"/>
        <v>12952.6608011164</v>
      </c>
      <c r="I82" s="22">
        <f t="shared" si="31"/>
        <v>13567.582216042545</v>
      </c>
      <c r="J82" s="199">
        <f t="shared" si="31"/>
        <v>929.18478</v>
      </c>
      <c r="K82" s="285">
        <f t="shared" si="31"/>
        <v>14504.57825</v>
      </c>
      <c r="L82" s="285">
        <f t="shared" si="31"/>
        <v>0</v>
      </c>
      <c r="M82" s="285">
        <f t="shared" si="31"/>
        <v>1002.66766</v>
      </c>
      <c r="N82" s="285">
        <f t="shared" si="31"/>
        <v>15507.24591</v>
      </c>
      <c r="O82" s="285">
        <f>O83+O97</f>
        <v>0</v>
      </c>
      <c r="P82" s="285">
        <f>P83+P97</f>
        <v>463.31458</v>
      </c>
      <c r="Q82" s="492">
        <f>Q83+Q97</f>
        <v>16063.581389999998</v>
      </c>
      <c r="R82" s="493">
        <f>R83+R97</f>
        <v>15276.31844</v>
      </c>
      <c r="S82" s="494">
        <f t="shared" si="30"/>
        <v>95.09908201112555</v>
      </c>
    </row>
    <row r="83" spans="1:19" s="1" customFormat="1" ht="41.25" customHeight="1">
      <c r="A83" s="109" t="s">
        <v>241</v>
      </c>
      <c r="B83" s="99" t="s">
        <v>254</v>
      </c>
      <c r="C83" s="112" t="s">
        <v>198</v>
      </c>
      <c r="D83" s="112" t="s">
        <v>253</v>
      </c>
      <c r="E83" s="113" t="s">
        <v>205</v>
      </c>
      <c r="F83" s="104"/>
      <c r="G83" s="88">
        <f aca="true" t="shared" si="32" ref="G83:R83">G84</f>
        <v>11677.47347</v>
      </c>
      <c r="H83" s="55">
        <f t="shared" si="32"/>
        <v>11077.1508011164</v>
      </c>
      <c r="I83" s="55">
        <f t="shared" si="32"/>
        <v>11526.032216042546</v>
      </c>
      <c r="J83" s="88">
        <f t="shared" si="32"/>
        <v>904.49404</v>
      </c>
      <c r="K83" s="290">
        <f t="shared" si="32"/>
        <v>12581.96751</v>
      </c>
      <c r="L83" s="290">
        <f t="shared" si="32"/>
        <v>0</v>
      </c>
      <c r="M83" s="290">
        <f t="shared" si="32"/>
        <v>983.35862</v>
      </c>
      <c r="N83" s="290">
        <f t="shared" si="32"/>
        <v>13565.32613</v>
      </c>
      <c r="O83" s="290">
        <f t="shared" si="32"/>
        <v>0</v>
      </c>
      <c r="P83" s="290">
        <f t="shared" si="32"/>
        <v>115.22397</v>
      </c>
      <c r="Q83" s="480">
        <f t="shared" si="32"/>
        <v>13594.830309999998</v>
      </c>
      <c r="R83" s="480">
        <f t="shared" si="32"/>
        <v>13464.270199999999</v>
      </c>
      <c r="S83" s="481">
        <f t="shared" si="30"/>
        <v>99.03963413280736</v>
      </c>
    </row>
    <row r="84" spans="1:19" ht="16.5" customHeight="1">
      <c r="A84" s="46" t="s">
        <v>220</v>
      </c>
      <c r="B84" s="71" t="s">
        <v>254</v>
      </c>
      <c r="C84" s="72" t="s">
        <v>198</v>
      </c>
      <c r="D84" s="72" t="s">
        <v>253</v>
      </c>
      <c r="E84" s="73" t="s">
        <v>221</v>
      </c>
      <c r="F84" s="74"/>
      <c r="G84" s="96">
        <f aca="true" t="shared" si="33" ref="G84:N84">G85+G88+G94</f>
        <v>11677.47347</v>
      </c>
      <c r="H84" s="96">
        <f t="shared" si="33"/>
        <v>11077.1508011164</v>
      </c>
      <c r="I84" s="96">
        <f t="shared" si="33"/>
        <v>11526.032216042546</v>
      </c>
      <c r="J84" s="96">
        <f t="shared" si="33"/>
        <v>904.49404</v>
      </c>
      <c r="K84" s="287">
        <f t="shared" si="33"/>
        <v>12581.96751</v>
      </c>
      <c r="L84" s="287">
        <f t="shared" si="33"/>
        <v>0</v>
      </c>
      <c r="M84" s="287">
        <f t="shared" si="33"/>
        <v>983.35862</v>
      </c>
      <c r="N84" s="287">
        <f t="shared" si="33"/>
        <v>13565.32613</v>
      </c>
      <c r="O84" s="287">
        <f>O85+O88+O94</f>
        <v>0</v>
      </c>
      <c r="P84" s="287">
        <f>P85+P88+P94</f>
        <v>115.22397</v>
      </c>
      <c r="Q84" s="449">
        <f>Q85+Q88+Q94</f>
        <v>13594.830309999998</v>
      </c>
      <c r="R84" s="449">
        <f>R85+R88+R94</f>
        <v>13464.270199999999</v>
      </c>
      <c r="S84" s="465">
        <f t="shared" si="30"/>
        <v>99.03963413280736</v>
      </c>
    </row>
    <row r="85" spans="1:19" ht="15.75" customHeight="1">
      <c r="A85" s="193" t="s">
        <v>108</v>
      </c>
      <c r="B85" s="141" t="s">
        <v>254</v>
      </c>
      <c r="C85" s="76" t="s">
        <v>198</v>
      </c>
      <c r="D85" s="76" t="s">
        <v>253</v>
      </c>
      <c r="E85" s="77" t="s">
        <v>221</v>
      </c>
      <c r="F85" s="101" t="s">
        <v>105</v>
      </c>
      <c r="G85" s="258">
        <f aca="true" t="shared" si="34" ref="G85:N85">G86+G87</f>
        <v>10839.5712</v>
      </c>
      <c r="H85" s="259">
        <f t="shared" si="34"/>
        <v>10275.0102</v>
      </c>
      <c r="I85" s="259">
        <f t="shared" si="34"/>
        <v>10726.658999999998</v>
      </c>
      <c r="J85" s="258">
        <f t="shared" si="34"/>
        <v>890.97382</v>
      </c>
      <c r="K85" s="288">
        <f t="shared" si="34"/>
        <v>11730.54502</v>
      </c>
      <c r="L85" s="288">
        <f t="shared" si="34"/>
        <v>-100</v>
      </c>
      <c r="M85" s="288">
        <f t="shared" si="34"/>
        <v>983.35862</v>
      </c>
      <c r="N85" s="288">
        <f t="shared" si="34"/>
        <v>12613.903639999999</v>
      </c>
      <c r="O85" s="288">
        <f>O86+O87</f>
        <v>0</v>
      </c>
      <c r="P85" s="288">
        <f>P86+P87</f>
        <v>115.22397</v>
      </c>
      <c r="Q85" s="456">
        <f>Q86+Q87</f>
        <v>12729.127609999998</v>
      </c>
      <c r="R85" s="456">
        <v>12625.48037</v>
      </c>
      <c r="S85" s="444">
        <f t="shared" si="30"/>
        <v>99.1857474983708</v>
      </c>
    </row>
    <row r="86" spans="1:19" ht="12.75" hidden="1">
      <c r="A86" s="29"/>
      <c r="B86" s="141"/>
      <c r="C86" s="76"/>
      <c r="D86" s="76"/>
      <c r="E86" s="77"/>
      <c r="F86" s="115" t="s">
        <v>215</v>
      </c>
      <c r="G86" s="89">
        <v>8327.58213</v>
      </c>
      <c r="H86" s="82">
        <f>8672.22*0.91</f>
        <v>7891.7202</v>
      </c>
      <c r="I86" s="82">
        <f>8672.22*0.95</f>
        <v>8238.608999999999</v>
      </c>
      <c r="J86" s="89">
        <f>1511.46467-800</f>
        <v>711.4646700000001</v>
      </c>
      <c r="K86" s="275">
        <v>9039.0468</v>
      </c>
      <c r="L86" s="315"/>
      <c r="M86" s="82">
        <f>641.6892+93.07106</f>
        <v>734.76026</v>
      </c>
      <c r="N86" s="89">
        <f>K86+L86+M86</f>
        <v>9773.80706</v>
      </c>
      <c r="O86" s="89"/>
      <c r="P86" s="275">
        <v>115.22397</v>
      </c>
      <c r="Q86" s="448">
        <f>N86+O86+P86</f>
        <v>9889.031029999998</v>
      </c>
      <c r="R86" s="448">
        <f>O86+P86+Q86</f>
        <v>10004.254999999997</v>
      </c>
      <c r="S86" s="444">
        <f t="shared" si="30"/>
        <v>101.1651694655467</v>
      </c>
    </row>
    <row r="87" spans="1:19" ht="12.75" hidden="1">
      <c r="A87" s="46"/>
      <c r="B87" s="141"/>
      <c r="C87" s="76"/>
      <c r="D87" s="76"/>
      <c r="E87" s="77"/>
      <c r="F87" s="78" t="s">
        <v>217</v>
      </c>
      <c r="G87" s="89">
        <v>2511.98907</v>
      </c>
      <c r="H87" s="82">
        <f>2619*0.91</f>
        <v>2383.29</v>
      </c>
      <c r="I87" s="82">
        <f>2619*0.95</f>
        <v>2488.0499999999997</v>
      </c>
      <c r="J87" s="89">
        <f>400-220.49085</f>
        <v>179.50915</v>
      </c>
      <c r="K87" s="275">
        <v>2691.49822</v>
      </c>
      <c r="L87" s="315">
        <v>-100</v>
      </c>
      <c r="M87" s="82">
        <f>220.4909+28.10746</f>
        <v>248.59836</v>
      </c>
      <c r="N87" s="89">
        <f>K87+L87+M87</f>
        <v>2840.09658</v>
      </c>
      <c r="O87" s="89"/>
      <c r="P87" s="275"/>
      <c r="Q87" s="448">
        <f>N87+O87+P87</f>
        <v>2840.09658</v>
      </c>
      <c r="R87" s="448">
        <f>O87+P87+Q87</f>
        <v>2840.09658</v>
      </c>
      <c r="S87" s="444">
        <f t="shared" si="30"/>
        <v>100</v>
      </c>
    </row>
    <row r="88" spans="1:19" ht="15.75" customHeight="1">
      <c r="A88" s="181" t="s">
        <v>109</v>
      </c>
      <c r="B88" s="141" t="s">
        <v>254</v>
      </c>
      <c r="C88" s="76" t="s">
        <v>198</v>
      </c>
      <c r="D88" s="76" t="s">
        <v>253</v>
      </c>
      <c r="E88" s="77" t="s">
        <v>221</v>
      </c>
      <c r="F88" s="78" t="s">
        <v>106</v>
      </c>
      <c r="G88" s="89">
        <f aca="true" t="shared" si="35" ref="G88:N88">G89+G90+G91+G92+G95+G96</f>
        <v>834.54227</v>
      </c>
      <c r="H88" s="82">
        <f t="shared" si="35"/>
        <v>798.9240059164001</v>
      </c>
      <c r="I88" s="82">
        <f t="shared" si="35"/>
        <v>796.1677180959884</v>
      </c>
      <c r="J88" s="89">
        <f t="shared" si="35"/>
        <v>13.52022</v>
      </c>
      <c r="K88" s="275">
        <f>K89+K90+K91+K92+K95+K96</f>
        <v>848.06249</v>
      </c>
      <c r="L88" s="275">
        <f t="shared" si="35"/>
        <v>100</v>
      </c>
      <c r="M88" s="275">
        <f t="shared" si="35"/>
        <v>0</v>
      </c>
      <c r="N88" s="275">
        <f t="shared" si="35"/>
        <v>948.06249</v>
      </c>
      <c r="O88" s="275">
        <f>O89+O90+O91+O92+O95+O96</f>
        <v>0</v>
      </c>
      <c r="P88" s="275">
        <f>P89+P90+P91+P92+P95+P96</f>
        <v>1.26769</v>
      </c>
      <c r="Q88" s="448">
        <v>863.61039</v>
      </c>
      <c r="R88" s="448">
        <v>836.69752</v>
      </c>
      <c r="S88" s="444">
        <f t="shared" si="30"/>
        <v>96.88367922484119</v>
      </c>
    </row>
    <row r="89" spans="1:19" ht="14.25" customHeight="1" hidden="1">
      <c r="A89" s="29"/>
      <c r="B89" s="141"/>
      <c r="C89" s="76"/>
      <c r="D89" s="76"/>
      <c r="E89" s="77"/>
      <c r="F89" s="115" t="s">
        <v>233</v>
      </c>
      <c r="G89" s="89">
        <v>172.05163</v>
      </c>
      <c r="H89" s="82">
        <f aca="true" t="shared" si="36" ref="H89:H96">G89*1.052*0.91</f>
        <v>164.70846643160002</v>
      </c>
      <c r="I89" s="82">
        <f aca="true" t="shared" si="37" ref="I89:I96">H89*1.049*0.95</f>
        <v>164.14022222241098</v>
      </c>
      <c r="J89" s="89"/>
      <c r="K89" s="275">
        <v>152.05163</v>
      </c>
      <c r="L89" s="315"/>
      <c r="M89" s="82"/>
      <c r="N89" s="89">
        <f>K89+L89+M89</f>
        <v>152.05163</v>
      </c>
      <c r="O89" s="89"/>
      <c r="P89" s="275"/>
      <c r="Q89" s="448">
        <f aca="true" t="shared" si="38" ref="Q89:R93">N89+O89+P89</f>
        <v>152.05163</v>
      </c>
      <c r="R89" s="448">
        <f t="shared" si="38"/>
        <v>152.05163</v>
      </c>
      <c r="S89" s="444">
        <f t="shared" si="30"/>
        <v>100</v>
      </c>
    </row>
    <row r="90" spans="1:19" ht="12.75" hidden="1">
      <c r="A90" s="46"/>
      <c r="B90" s="141"/>
      <c r="C90" s="76"/>
      <c r="D90" s="76"/>
      <c r="E90" s="77"/>
      <c r="F90" s="78" t="s">
        <v>234</v>
      </c>
      <c r="G90" s="89">
        <v>3.9837</v>
      </c>
      <c r="H90" s="82">
        <f t="shared" si="36"/>
        <v>3.813675684</v>
      </c>
      <c r="I90" s="82">
        <f t="shared" si="37"/>
        <v>3.8005185028902</v>
      </c>
      <c r="J90" s="89">
        <v>0.0813</v>
      </c>
      <c r="K90" s="275">
        <v>4.065</v>
      </c>
      <c r="L90" s="315">
        <v>-4.065</v>
      </c>
      <c r="M90" s="82"/>
      <c r="N90" s="89">
        <f>K90+L90+M90</f>
        <v>0</v>
      </c>
      <c r="O90" s="89"/>
      <c r="P90" s="275">
        <v>0.5</v>
      </c>
      <c r="Q90" s="448">
        <f t="shared" si="38"/>
        <v>0.5</v>
      </c>
      <c r="R90" s="448">
        <f t="shared" si="38"/>
        <v>1</v>
      </c>
      <c r="S90" s="444">
        <f t="shared" si="30"/>
        <v>200</v>
      </c>
    </row>
    <row r="91" spans="1:19" ht="12.75" hidden="1">
      <c r="A91" s="29"/>
      <c r="B91" s="141"/>
      <c r="C91" s="76"/>
      <c r="D91" s="76"/>
      <c r="E91" s="77"/>
      <c r="F91" s="115" t="s">
        <v>235</v>
      </c>
      <c r="G91" s="89">
        <v>23.1917</v>
      </c>
      <c r="H91" s="82">
        <f t="shared" si="36"/>
        <v>22.201878244</v>
      </c>
      <c r="I91" s="82">
        <f t="shared" si="37"/>
        <v>22.125281764058197</v>
      </c>
      <c r="J91" s="89">
        <v>0.4733</v>
      </c>
      <c r="K91" s="275">
        <v>93.665</v>
      </c>
      <c r="L91" s="315">
        <v>-10</v>
      </c>
      <c r="M91" s="82"/>
      <c r="N91" s="89">
        <f>K91+L91+M91</f>
        <v>83.665</v>
      </c>
      <c r="O91" s="89"/>
      <c r="P91" s="275">
        <f>-6.463+10</f>
        <v>3.537</v>
      </c>
      <c r="Q91" s="448">
        <f t="shared" si="38"/>
        <v>87.20200000000001</v>
      </c>
      <c r="R91" s="448">
        <f t="shared" si="38"/>
        <v>90.73900000000002</v>
      </c>
      <c r="S91" s="444">
        <f t="shared" si="30"/>
        <v>104.05609963074242</v>
      </c>
    </row>
    <row r="92" spans="1:19" ht="12.75" hidden="1">
      <c r="A92" s="46"/>
      <c r="B92" s="141"/>
      <c r="C92" s="76"/>
      <c r="D92" s="76"/>
      <c r="E92" s="77"/>
      <c r="F92" s="78" t="s">
        <v>236</v>
      </c>
      <c r="G92" s="89">
        <v>209.28102</v>
      </c>
      <c r="H92" s="82">
        <f t="shared" si="36"/>
        <v>200.34890606640005</v>
      </c>
      <c r="I92" s="82">
        <f t="shared" si="37"/>
        <v>199.65770234047093</v>
      </c>
      <c r="J92" s="89">
        <v>4.27104</v>
      </c>
      <c r="K92" s="275">
        <v>213.55206</v>
      </c>
      <c r="L92" s="315"/>
      <c r="M92" s="82"/>
      <c r="N92" s="89">
        <f>K92+L92+M92</f>
        <v>213.55206</v>
      </c>
      <c r="O92" s="89"/>
      <c r="P92" s="275"/>
      <c r="Q92" s="448">
        <f t="shared" si="38"/>
        <v>213.55206</v>
      </c>
      <c r="R92" s="448">
        <f t="shared" si="38"/>
        <v>213.55206</v>
      </c>
      <c r="S92" s="444">
        <f t="shared" si="30"/>
        <v>100</v>
      </c>
    </row>
    <row r="93" spans="1:19" ht="15.75" customHeight="1" hidden="1">
      <c r="A93" s="29"/>
      <c r="B93" s="141"/>
      <c r="C93" s="76"/>
      <c r="D93" s="76"/>
      <c r="E93" s="77"/>
      <c r="F93" s="115" t="s">
        <v>237</v>
      </c>
      <c r="G93" s="89">
        <f>3.5*0.96</f>
        <v>3.36</v>
      </c>
      <c r="H93" s="82">
        <f t="shared" si="36"/>
        <v>3.2165952</v>
      </c>
      <c r="I93" s="82">
        <f t="shared" si="37"/>
        <v>3.2054979465599995</v>
      </c>
      <c r="J93" s="89"/>
      <c r="K93" s="275">
        <f>G93+J93</f>
        <v>3.36</v>
      </c>
      <c r="L93" s="315"/>
      <c r="M93" s="82"/>
      <c r="N93" s="89">
        <f>K93+L93+M93</f>
        <v>3.36</v>
      </c>
      <c r="O93" s="89"/>
      <c r="P93" s="275">
        <v>-1.26769</v>
      </c>
      <c r="Q93" s="448">
        <f t="shared" si="38"/>
        <v>2.09231</v>
      </c>
      <c r="R93" s="448">
        <f t="shared" si="38"/>
        <v>0.8246199999999999</v>
      </c>
      <c r="S93" s="444">
        <f t="shared" si="30"/>
        <v>39.41194182506416</v>
      </c>
    </row>
    <row r="94" spans="1:19" ht="15.75" customHeight="1">
      <c r="A94" s="181" t="s">
        <v>110</v>
      </c>
      <c r="B94" s="141" t="s">
        <v>254</v>
      </c>
      <c r="C94" s="76" t="s">
        <v>198</v>
      </c>
      <c r="D94" s="76" t="s">
        <v>253</v>
      </c>
      <c r="E94" s="77" t="s">
        <v>221</v>
      </c>
      <c r="F94" s="434" t="s">
        <v>107</v>
      </c>
      <c r="G94" s="89">
        <f aca="true" t="shared" si="39" ref="G94:Q94">G93</f>
        <v>3.36</v>
      </c>
      <c r="H94" s="82">
        <f t="shared" si="39"/>
        <v>3.2165952</v>
      </c>
      <c r="I94" s="82">
        <f t="shared" si="39"/>
        <v>3.2054979465599995</v>
      </c>
      <c r="J94" s="89">
        <f t="shared" si="39"/>
        <v>0</v>
      </c>
      <c r="K94" s="275">
        <f t="shared" si="39"/>
        <v>3.36</v>
      </c>
      <c r="L94" s="275">
        <f t="shared" si="39"/>
        <v>0</v>
      </c>
      <c r="M94" s="275">
        <f t="shared" si="39"/>
        <v>0</v>
      </c>
      <c r="N94" s="275">
        <f t="shared" si="39"/>
        <v>3.36</v>
      </c>
      <c r="O94" s="275">
        <f t="shared" si="39"/>
        <v>0</v>
      </c>
      <c r="P94" s="275">
        <f t="shared" si="39"/>
        <v>-1.26769</v>
      </c>
      <c r="Q94" s="448">
        <f t="shared" si="39"/>
        <v>2.09231</v>
      </c>
      <c r="R94" s="448">
        <v>2.09231</v>
      </c>
      <c r="S94" s="444">
        <f t="shared" si="30"/>
        <v>100</v>
      </c>
    </row>
    <row r="95" spans="1:19" ht="15" customHeight="1" hidden="1">
      <c r="A95" s="46"/>
      <c r="B95" s="71"/>
      <c r="C95" s="76"/>
      <c r="D95" s="76"/>
      <c r="E95" s="77"/>
      <c r="F95" s="78" t="s">
        <v>238</v>
      </c>
      <c r="G95" s="89">
        <v>142.1</v>
      </c>
      <c r="H95" s="82">
        <f t="shared" si="36"/>
        <v>136.03517200000002</v>
      </c>
      <c r="I95" s="82">
        <f t="shared" si="37"/>
        <v>135.5658506566</v>
      </c>
      <c r="J95" s="89">
        <v>2.9</v>
      </c>
      <c r="K95" s="275">
        <v>95</v>
      </c>
      <c r="L95" s="315"/>
      <c r="M95" s="82"/>
      <c r="N95" s="89">
        <f>K95+L95+M95</f>
        <v>95</v>
      </c>
      <c r="O95" s="89"/>
      <c r="P95" s="275">
        <v>-0.5</v>
      </c>
      <c r="Q95" s="448">
        <f>N95+O95+P95</f>
        <v>94.5</v>
      </c>
      <c r="R95" s="448">
        <f>O95+P95+Q95</f>
        <v>94</v>
      </c>
      <c r="S95" s="465">
        <f t="shared" si="30"/>
        <v>99.47089947089947</v>
      </c>
    </row>
    <row r="96" spans="1:19" ht="16.5" customHeight="1" hidden="1" thickBot="1">
      <c r="A96" s="29"/>
      <c r="B96" s="30"/>
      <c r="C96" s="79"/>
      <c r="D96" s="79"/>
      <c r="E96" s="80"/>
      <c r="F96" s="116">
        <v>340</v>
      </c>
      <c r="G96" s="97">
        <v>283.93422</v>
      </c>
      <c r="H96" s="82">
        <f t="shared" si="36"/>
        <v>271.81590749040004</v>
      </c>
      <c r="I96" s="82">
        <f t="shared" si="37"/>
        <v>270.8781426095581</v>
      </c>
      <c r="J96" s="97">
        <v>5.79458</v>
      </c>
      <c r="K96" s="275">
        <v>289.7288</v>
      </c>
      <c r="L96" s="315">
        <v>114.065</v>
      </c>
      <c r="M96" s="82"/>
      <c r="N96" s="89">
        <f>K96+L96+M96</f>
        <v>403.7938</v>
      </c>
      <c r="O96" s="89"/>
      <c r="P96" s="275">
        <v>-2.26931</v>
      </c>
      <c r="Q96" s="448">
        <f>N96+O96+P96</f>
        <v>401.52448999999996</v>
      </c>
      <c r="R96" s="448">
        <f>O96+P96+Q96</f>
        <v>399.25517999999994</v>
      </c>
      <c r="S96" s="465">
        <f t="shared" si="30"/>
        <v>99.43482650335973</v>
      </c>
    </row>
    <row r="97" spans="1:19" ht="39" hidden="1" thickBot="1">
      <c r="A97" s="23" t="s">
        <v>252</v>
      </c>
      <c r="B97" s="24" t="s">
        <v>202</v>
      </c>
      <c r="C97" s="25" t="s">
        <v>198</v>
      </c>
      <c r="D97" s="25" t="s">
        <v>253</v>
      </c>
      <c r="E97" s="26"/>
      <c r="F97" s="27"/>
      <c r="G97" s="201">
        <f aca="true" t="shared" si="40" ref="G97:R98">G98</f>
        <v>1897.9199999999998</v>
      </c>
      <c r="H97" s="28">
        <f t="shared" si="40"/>
        <v>1875.51</v>
      </c>
      <c r="I97" s="28">
        <f t="shared" si="40"/>
        <v>2041.5499999999997</v>
      </c>
      <c r="J97" s="201">
        <f t="shared" si="40"/>
        <v>24.690739999999987</v>
      </c>
      <c r="K97" s="289">
        <f t="shared" si="40"/>
        <v>1922.61074</v>
      </c>
      <c r="L97" s="289">
        <f t="shared" si="40"/>
        <v>0</v>
      </c>
      <c r="M97" s="289">
        <f t="shared" si="40"/>
        <v>19.30904</v>
      </c>
      <c r="N97" s="289">
        <f t="shared" si="40"/>
        <v>1941.9197800000002</v>
      </c>
      <c r="O97" s="289">
        <f t="shared" si="40"/>
        <v>0</v>
      </c>
      <c r="P97" s="289">
        <f t="shared" si="40"/>
        <v>348.09060999999997</v>
      </c>
      <c r="Q97" s="449">
        <f t="shared" si="40"/>
        <v>2468.75108</v>
      </c>
      <c r="R97" s="449">
        <f t="shared" si="40"/>
        <v>1812.04824</v>
      </c>
      <c r="S97" s="465">
        <f t="shared" si="30"/>
        <v>73.39939026983636</v>
      </c>
    </row>
    <row r="98" spans="1:19" ht="40.5" customHeight="1">
      <c r="A98" s="109" t="s">
        <v>241</v>
      </c>
      <c r="B98" s="99" t="s">
        <v>202</v>
      </c>
      <c r="C98" s="112" t="s">
        <v>198</v>
      </c>
      <c r="D98" s="112" t="s">
        <v>253</v>
      </c>
      <c r="E98" s="113" t="s">
        <v>205</v>
      </c>
      <c r="F98" s="104"/>
      <c r="G98" s="88">
        <f t="shared" si="40"/>
        <v>1897.9199999999998</v>
      </c>
      <c r="H98" s="55">
        <f t="shared" si="40"/>
        <v>1875.51</v>
      </c>
      <c r="I98" s="55">
        <f t="shared" si="40"/>
        <v>2041.5499999999997</v>
      </c>
      <c r="J98" s="88">
        <f t="shared" si="40"/>
        <v>24.690739999999987</v>
      </c>
      <c r="K98" s="290">
        <f t="shared" si="40"/>
        <v>1922.61074</v>
      </c>
      <c r="L98" s="290">
        <f t="shared" si="40"/>
        <v>0</v>
      </c>
      <c r="M98" s="290">
        <f t="shared" si="40"/>
        <v>19.30904</v>
      </c>
      <c r="N98" s="290">
        <f t="shared" si="40"/>
        <v>1941.9197800000002</v>
      </c>
      <c r="O98" s="290">
        <f t="shared" si="40"/>
        <v>0</v>
      </c>
      <c r="P98" s="290">
        <f t="shared" si="40"/>
        <v>348.09060999999997</v>
      </c>
      <c r="Q98" s="449">
        <f t="shared" si="40"/>
        <v>2468.75108</v>
      </c>
      <c r="R98" s="449">
        <f t="shared" si="40"/>
        <v>1812.04824</v>
      </c>
      <c r="S98" s="465">
        <f t="shared" si="30"/>
        <v>73.39939026983636</v>
      </c>
    </row>
    <row r="99" spans="1:19" ht="16.5" customHeight="1">
      <c r="A99" s="46" t="s">
        <v>220</v>
      </c>
      <c r="B99" s="71" t="s">
        <v>202</v>
      </c>
      <c r="C99" s="72" t="s">
        <v>198</v>
      </c>
      <c r="D99" s="72" t="s">
        <v>253</v>
      </c>
      <c r="E99" s="73" t="s">
        <v>221</v>
      </c>
      <c r="F99" s="74"/>
      <c r="G99" s="96">
        <f aca="true" t="shared" si="41" ref="G99:N99">G100+G104+G110</f>
        <v>1897.9199999999998</v>
      </c>
      <c r="H99" s="96">
        <f t="shared" si="41"/>
        <v>1875.51</v>
      </c>
      <c r="I99" s="96">
        <f t="shared" si="41"/>
        <v>2041.5499999999997</v>
      </c>
      <c r="J99" s="96">
        <f t="shared" si="41"/>
        <v>24.690739999999987</v>
      </c>
      <c r="K99" s="287">
        <f t="shared" si="41"/>
        <v>1922.61074</v>
      </c>
      <c r="L99" s="287">
        <f t="shared" si="41"/>
        <v>0</v>
      </c>
      <c r="M99" s="287">
        <f t="shared" si="41"/>
        <v>19.30904</v>
      </c>
      <c r="N99" s="287">
        <f t="shared" si="41"/>
        <v>1941.9197800000002</v>
      </c>
      <c r="O99" s="287">
        <f>O100+O104+O110</f>
        <v>0</v>
      </c>
      <c r="P99" s="287">
        <f>P100+P104+P110</f>
        <v>348.09060999999997</v>
      </c>
      <c r="Q99" s="449">
        <f>Q100+Q104+Q110</f>
        <v>2468.75108</v>
      </c>
      <c r="R99" s="449">
        <f>R100+R104+R110</f>
        <v>1812.04824</v>
      </c>
      <c r="S99" s="465">
        <f t="shared" si="30"/>
        <v>73.39939026983636</v>
      </c>
    </row>
    <row r="100" spans="1:19" ht="15.75" customHeight="1">
      <c r="A100" s="193" t="s">
        <v>108</v>
      </c>
      <c r="B100" s="141" t="s">
        <v>202</v>
      </c>
      <c r="C100" s="76" t="s">
        <v>198</v>
      </c>
      <c r="D100" s="76" t="s">
        <v>253</v>
      </c>
      <c r="E100" s="77" t="s">
        <v>221</v>
      </c>
      <c r="F100" s="101" t="s">
        <v>105</v>
      </c>
      <c r="G100" s="89">
        <f aca="true" t="shared" si="42" ref="G100:N100">G101+G102+G103</f>
        <v>1571.52</v>
      </c>
      <c r="H100" s="82">
        <f t="shared" si="42"/>
        <v>1566.11</v>
      </c>
      <c r="I100" s="82">
        <f t="shared" si="42"/>
        <v>1718.5499999999997</v>
      </c>
      <c r="J100" s="89">
        <f t="shared" si="42"/>
        <v>161.09073999999998</v>
      </c>
      <c r="K100" s="275">
        <f t="shared" si="42"/>
        <v>1732.61074</v>
      </c>
      <c r="L100" s="269">
        <f t="shared" si="42"/>
        <v>0</v>
      </c>
      <c r="M100" s="269">
        <f t="shared" si="42"/>
        <v>19.30904</v>
      </c>
      <c r="N100" s="269">
        <f t="shared" si="42"/>
        <v>1751.9197800000002</v>
      </c>
      <c r="O100" s="269">
        <f>O101+O102+O103</f>
        <v>0</v>
      </c>
      <c r="P100" s="269">
        <f>P101+P102+P103</f>
        <v>213.5</v>
      </c>
      <c r="Q100" s="448">
        <v>2102.86047</v>
      </c>
      <c r="R100" s="448">
        <v>1639.8623</v>
      </c>
      <c r="S100" s="444">
        <f t="shared" si="30"/>
        <v>77.98245881715586</v>
      </c>
    </row>
    <row r="101" spans="1:19" ht="12.75" hidden="1">
      <c r="A101" s="29"/>
      <c r="B101" s="161"/>
      <c r="C101" s="100"/>
      <c r="D101" s="100"/>
      <c r="E101" s="110"/>
      <c r="F101" s="81" t="s">
        <v>215</v>
      </c>
      <c r="G101" s="102">
        <v>1254.76</v>
      </c>
      <c r="H101" s="137">
        <f>1314*0.91</f>
        <v>1195.74</v>
      </c>
      <c r="I101" s="82">
        <f>1382*0.95</f>
        <v>1312.8999999999999</v>
      </c>
      <c r="J101" s="102">
        <v>192.8689</v>
      </c>
      <c r="K101" s="280">
        <v>1330.44074</v>
      </c>
      <c r="L101" s="370"/>
      <c r="M101" s="128">
        <v>14.83029</v>
      </c>
      <c r="N101" s="128">
        <f>K101+L101+M101</f>
        <v>1345.27103</v>
      </c>
      <c r="O101" s="128">
        <v>-55</v>
      </c>
      <c r="P101" s="370">
        <v>164</v>
      </c>
      <c r="Q101" s="448">
        <f aca="true" t="shared" si="43" ref="Q101:R103">N101+O101+P101</f>
        <v>1454.27103</v>
      </c>
      <c r="R101" s="448">
        <f t="shared" si="43"/>
        <v>1563.27103</v>
      </c>
      <c r="S101" s="444">
        <f t="shared" si="30"/>
        <v>107.49516408918632</v>
      </c>
    </row>
    <row r="102" spans="1:19" ht="13.5" customHeight="1" hidden="1">
      <c r="A102" s="46"/>
      <c r="B102" s="141"/>
      <c r="C102" s="76"/>
      <c r="D102" s="76"/>
      <c r="E102" s="77"/>
      <c r="F102" s="78" t="s">
        <v>216</v>
      </c>
      <c r="G102" s="89">
        <v>0</v>
      </c>
      <c r="H102" s="82">
        <f>10*0.91</f>
        <v>9.1</v>
      </c>
      <c r="I102" s="82">
        <f>10*0.95</f>
        <v>9.5</v>
      </c>
      <c r="J102" s="89"/>
      <c r="K102" s="280">
        <f>G102+J102</f>
        <v>0</v>
      </c>
      <c r="L102" s="315"/>
      <c r="M102" s="82"/>
      <c r="N102" s="82"/>
      <c r="O102" s="82"/>
      <c r="P102" s="315"/>
      <c r="Q102" s="448">
        <f t="shared" si="43"/>
        <v>0</v>
      </c>
      <c r="R102" s="448">
        <f t="shared" si="43"/>
        <v>0</v>
      </c>
      <c r="S102" s="444" t="e">
        <f t="shared" si="30"/>
        <v>#DIV/0!</v>
      </c>
    </row>
    <row r="103" spans="1:19" ht="13.5" customHeight="1" hidden="1">
      <c r="A103" s="29"/>
      <c r="B103" s="141"/>
      <c r="C103" s="76"/>
      <c r="D103" s="76"/>
      <c r="E103" s="77"/>
      <c r="F103" s="81" t="s">
        <v>217</v>
      </c>
      <c r="G103" s="89">
        <v>316.76</v>
      </c>
      <c r="H103" s="82">
        <f>397*0.91</f>
        <v>361.27000000000004</v>
      </c>
      <c r="I103" s="82">
        <f>417*0.95</f>
        <v>396.15</v>
      </c>
      <c r="J103" s="89">
        <v>-31.77816</v>
      </c>
      <c r="K103" s="280">
        <v>402.17</v>
      </c>
      <c r="L103" s="315"/>
      <c r="M103" s="82">
        <v>4.47875</v>
      </c>
      <c r="N103" s="82">
        <f>K103+L103+M103</f>
        <v>406.64875</v>
      </c>
      <c r="O103" s="82">
        <v>55</v>
      </c>
      <c r="P103" s="315">
        <v>49.5</v>
      </c>
      <c r="Q103" s="448">
        <f t="shared" si="43"/>
        <v>511.14875</v>
      </c>
      <c r="R103" s="448">
        <f t="shared" si="43"/>
        <v>615.6487500000001</v>
      </c>
      <c r="S103" s="444">
        <f t="shared" si="30"/>
        <v>120.44414664028818</v>
      </c>
    </row>
    <row r="104" spans="1:19" ht="15.75" customHeight="1" thickBot="1">
      <c r="A104" s="193" t="s">
        <v>109</v>
      </c>
      <c r="B104" s="141" t="s">
        <v>202</v>
      </c>
      <c r="C104" s="76" t="s">
        <v>198</v>
      </c>
      <c r="D104" s="76" t="s">
        <v>253</v>
      </c>
      <c r="E104" s="77" t="s">
        <v>221</v>
      </c>
      <c r="F104" s="101" t="s">
        <v>106</v>
      </c>
      <c r="G104" s="89">
        <f aca="true" t="shared" si="44" ref="G104:N104">G105+G106+G107+G108+G111+G112</f>
        <v>321.6</v>
      </c>
      <c r="H104" s="82">
        <f t="shared" si="44"/>
        <v>304.85</v>
      </c>
      <c r="I104" s="82">
        <f t="shared" si="44"/>
        <v>318.25</v>
      </c>
      <c r="J104" s="89">
        <f t="shared" si="44"/>
        <v>-131.6</v>
      </c>
      <c r="K104" s="275">
        <f t="shared" si="44"/>
        <v>190</v>
      </c>
      <c r="L104" s="315">
        <f t="shared" si="44"/>
        <v>0</v>
      </c>
      <c r="M104" s="82">
        <f t="shared" si="44"/>
        <v>0</v>
      </c>
      <c r="N104" s="82">
        <f t="shared" si="44"/>
        <v>190</v>
      </c>
      <c r="O104" s="82">
        <f>O105+O106+O107+O108+O111+O112</f>
        <v>0</v>
      </c>
      <c r="P104" s="315">
        <f>P105+P106+P107+P108+P111+P112</f>
        <v>134.59061</v>
      </c>
      <c r="Q104" s="448">
        <v>365.89061</v>
      </c>
      <c r="R104" s="448">
        <v>172.18594</v>
      </c>
      <c r="S104" s="444">
        <f t="shared" si="30"/>
        <v>47.05940390216628</v>
      </c>
    </row>
    <row r="105" spans="1:19" ht="16.5" customHeight="1" hidden="1">
      <c r="A105" s="29"/>
      <c r="B105" s="161"/>
      <c r="C105" s="100"/>
      <c r="D105" s="100"/>
      <c r="E105" s="110"/>
      <c r="F105" s="81" t="s">
        <v>233</v>
      </c>
      <c r="G105" s="102">
        <v>5</v>
      </c>
      <c r="H105" s="137">
        <f>5*0.91</f>
        <v>4.55</v>
      </c>
      <c r="I105" s="82">
        <f>5*0.95</f>
        <v>4.75</v>
      </c>
      <c r="J105" s="102">
        <v>20</v>
      </c>
      <c r="K105" s="280">
        <v>20</v>
      </c>
      <c r="L105" s="315"/>
      <c r="M105" s="82"/>
      <c r="N105" s="82">
        <f>K105+L105+M105</f>
        <v>20</v>
      </c>
      <c r="O105" s="82">
        <v>2.082</v>
      </c>
      <c r="P105" s="315"/>
      <c r="Q105" s="448">
        <f aca="true" t="shared" si="45" ref="Q105:R109">N105+O105+P105</f>
        <v>22.082</v>
      </c>
      <c r="R105" s="448">
        <f t="shared" si="45"/>
        <v>24.164</v>
      </c>
      <c r="S105" s="444">
        <f t="shared" si="30"/>
        <v>109.42849379585182</v>
      </c>
    </row>
    <row r="106" spans="1:19" ht="12.75" hidden="1">
      <c r="A106" s="46"/>
      <c r="B106" s="141"/>
      <c r="C106" s="76"/>
      <c r="D106" s="76"/>
      <c r="E106" s="77"/>
      <c r="F106" s="78" t="s">
        <v>234</v>
      </c>
      <c r="G106" s="89">
        <v>65</v>
      </c>
      <c r="H106" s="82">
        <f>85*0.91</f>
        <v>77.35000000000001</v>
      </c>
      <c r="I106" s="82">
        <f>85*0.95</f>
        <v>80.75</v>
      </c>
      <c r="J106" s="89">
        <v>-49</v>
      </c>
      <c r="K106" s="280">
        <v>1</v>
      </c>
      <c r="L106" s="315"/>
      <c r="M106" s="82"/>
      <c r="N106" s="82">
        <f>K106+L106+M106</f>
        <v>1</v>
      </c>
      <c r="O106" s="82">
        <v>-0.594</v>
      </c>
      <c r="P106" s="315"/>
      <c r="Q106" s="448">
        <f t="shared" si="45"/>
        <v>0.406</v>
      </c>
      <c r="R106" s="448">
        <f t="shared" si="45"/>
        <v>-0.18799999999999994</v>
      </c>
      <c r="S106" s="444">
        <f t="shared" si="30"/>
        <v>-46.30541871921181</v>
      </c>
    </row>
    <row r="107" spans="1:19" ht="12.75" hidden="1">
      <c r="A107" s="29"/>
      <c r="B107" s="141"/>
      <c r="C107" s="76"/>
      <c r="D107" s="76"/>
      <c r="E107" s="77"/>
      <c r="F107" s="81" t="s">
        <v>235</v>
      </c>
      <c r="G107" s="89"/>
      <c r="H107" s="82">
        <f>5*0.91</f>
        <v>4.55</v>
      </c>
      <c r="I107" s="82">
        <f>5*0.95</f>
        <v>4.75</v>
      </c>
      <c r="J107" s="89"/>
      <c r="K107" s="280">
        <f>G107+J107</f>
        <v>0</v>
      </c>
      <c r="L107" s="315"/>
      <c r="M107" s="82"/>
      <c r="N107" s="82">
        <f>K107+L107+M107</f>
        <v>0</v>
      </c>
      <c r="O107" s="82">
        <f>L107+M107+N107</f>
        <v>0</v>
      </c>
      <c r="P107" s="315">
        <f>M107+N107+O107</f>
        <v>0</v>
      </c>
      <c r="Q107" s="448">
        <f t="shared" si="45"/>
        <v>0</v>
      </c>
      <c r="R107" s="448">
        <f t="shared" si="45"/>
        <v>0</v>
      </c>
      <c r="S107" s="444" t="e">
        <f t="shared" si="30"/>
        <v>#DIV/0!</v>
      </c>
    </row>
    <row r="108" spans="1:19" ht="12.75" hidden="1">
      <c r="A108" s="29"/>
      <c r="B108" s="141"/>
      <c r="C108" s="76"/>
      <c r="D108" s="76"/>
      <c r="E108" s="77"/>
      <c r="F108" s="81" t="s">
        <v>236</v>
      </c>
      <c r="G108" s="89">
        <v>10</v>
      </c>
      <c r="H108" s="82">
        <f>50*0.91</f>
        <v>45.5</v>
      </c>
      <c r="I108" s="82">
        <f>50*0.95</f>
        <v>47.5</v>
      </c>
      <c r="J108" s="89">
        <v>50</v>
      </c>
      <c r="K108" s="280">
        <v>30</v>
      </c>
      <c r="L108" s="315"/>
      <c r="M108" s="82"/>
      <c r="N108" s="82">
        <f>K108+L108+M108</f>
        <v>30</v>
      </c>
      <c r="O108" s="82">
        <v>-2.27409</v>
      </c>
      <c r="P108" s="315"/>
      <c r="Q108" s="448">
        <f t="shared" si="45"/>
        <v>27.72591</v>
      </c>
      <c r="R108" s="448">
        <f t="shared" si="45"/>
        <v>25.451819999999998</v>
      </c>
      <c r="S108" s="444">
        <f t="shared" si="30"/>
        <v>91.7979608243697</v>
      </c>
    </row>
    <row r="109" spans="1:19" ht="12.75" hidden="1">
      <c r="A109" s="29"/>
      <c r="B109" s="141"/>
      <c r="C109" s="76"/>
      <c r="D109" s="76"/>
      <c r="E109" s="77"/>
      <c r="F109" s="81" t="s">
        <v>237</v>
      </c>
      <c r="G109" s="89">
        <f>5*0.96</f>
        <v>4.8</v>
      </c>
      <c r="H109" s="82">
        <f>5*0.91</f>
        <v>4.55</v>
      </c>
      <c r="I109" s="82">
        <f>5*0.95</f>
        <v>4.75</v>
      </c>
      <c r="J109" s="89">
        <v>-4.8</v>
      </c>
      <c r="K109" s="280">
        <v>0</v>
      </c>
      <c r="L109" s="315"/>
      <c r="M109" s="82"/>
      <c r="N109" s="82">
        <f>K109+L109+M109</f>
        <v>0</v>
      </c>
      <c r="O109" s="82">
        <f>L109+M109+N109</f>
        <v>0</v>
      </c>
      <c r="P109" s="315">
        <f>M109+N109+O109</f>
        <v>0</v>
      </c>
      <c r="Q109" s="448">
        <f t="shared" si="45"/>
        <v>0</v>
      </c>
      <c r="R109" s="448">
        <f t="shared" si="45"/>
        <v>0</v>
      </c>
      <c r="S109" s="444" t="e">
        <f t="shared" si="30"/>
        <v>#DIV/0!</v>
      </c>
    </row>
    <row r="110" spans="1:19" ht="15.75" customHeight="1" hidden="1" thickBot="1">
      <c r="A110" s="181" t="s">
        <v>110</v>
      </c>
      <c r="B110" s="141" t="s">
        <v>202</v>
      </c>
      <c r="C110" s="76" t="s">
        <v>198</v>
      </c>
      <c r="D110" s="76" t="s">
        <v>253</v>
      </c>
      <c r="E110" s="77" t="s">
        <v>221</v>
      </c>
      <c r="F110" s="81" t="s">
        <v>107</v>
      </c>
      <c r="G110" s="89">
        <f aca="true" t="shared" si="46" ref="G110:R110">G109</f>
        <v>4.8</v>
      </c>
      <c r="H110" s="82">
        <f t="shared" si="46"/>
        <v>4.55</v>
      </c>
      <c r="I110" s="82">
        <f t="shared" si="46"/>
        <v>4.75</v>
      </c>
      <c r="J110" s="89">
        <f t="shared" si="46"/>
        <v>-4.8</v>
      </c>
      <c r="K110" s="275">
        <f t="shared" si="46"/>
        <v>0</v>
      </c>
      <c r="L110" s="315">
        <f t="shared" si="46"/>
        <v>0</v>
      </c>
      <c r="M110" s="82">
        <f t="shared" si="46"/>
        <v>0</v>
      </c>
      <c r="N110" s="82">
        <f t="shared" si="46"/>
        <v>0</v>
      </c>
      <c r="O110" s="82">
        <f t="shared" si="46"/>
        <v>0</v>
      </c>
      <c r="P110" s="315">
        <f t="shared" si="46"/>
        <v>0</v>
      </c>
      <c r="Q110" s="448">
        <f t="shared" si="46"/>
        <v>0</v>
      </c>
      <c r="R110" s="448">
        <f t="shared" si="46"/>
        <v>0</v>
      </c>
      <c r="S110" s="444" t="e">
        <f t="shared" si="30"/>
        <v>#DIV/0!</v>
      </c>
    </row>
    <row r="111" spans="1:19" ht="15" customHeight="1" hidden="1">
      <c r="A111" s="46"/>
      <c r="B111" s="71"/>
      <c r="C111" s="76"/>
      <c r="D111" s="76"/>
      <c r="E111" s="77"/>
      <c r="F111" s="78" t="s">
        <v>238</v>
      </c>
      <c r="G111" s="89">
        <v>110</v>
      </c>
      <c r="H111" s="82">
        <f>110*0.91</f>
        <v>100.10000000000001</v>
      </c>
      <c r="I111" s="82">
        <f>110*0.95</f>
        <v>104.5</v>
      </c>
      <c r="J111" s="89">
        <f>-21-30</f>
        <v>-51</v>
      </c>
      <c r="K111" s="275">
        <v>80</v>
      </c>
      <c r="L111" s="315"/>
      <c r="M111" s="82"/>
      <c r="N111" s="82">
        <f>K111+L111+M111</f>
        <v>80</v>
      </c>
      <c r="O111" s="82">
        <v>13.39417</v>
      </c>
      <c r="P111" s="315"/>
      <c r="Q111" s="448">
        <f>N111+O111+P111</f>
        <v>93.39417</v>
      </c>
      <c r="R111" s="448">
        <f>O111+P111+Q111</f>
        <v>106.78834</v>
      </c>
      <c r="S111" s="459">
        <f t="shared" si="30"/>
        <v>114.34154830007056</v>
      </c>
    </row>
    <row r="112" spans="1:19" ht="16.5" customHeight="1" hidden="1" thickBot="1">
      <c r="A112" s="29"/>
      <c r="B112" s="30"/>
      <c r="C112" s="79"/>
      <c r="D112" s="79"/>
      <c r="E112" s="80"/>
      <c r="F112" s="81" t="s">
        <v>239</v>
      </c>
      <c r="G112" s="97">
        <v>131.6</v>
      </c>
      <c r="H112" s="111">
        <f>80*0.91</f>
        <v>72.8</v>
      </c>
      <c r="I112" s="111">
        <f>80*0.95</f>
        <v>76</v>
      </c>
      <c r="J112" s="97">
        <f>-62.9-0.62-38.08</f>
        <v>-101.6</v>
      </c>
      <c r="K112" s="275">
        <v>59</v>
      </c>
      <c r="L112" s="329"/>
      <c r="M112" s="87"/>
      <c r="N112" s="87">
        <f>K112+L112+M112</f>
        <v>59</v>
      </c>
      <c r="O112" s="87">
        <v>-12.60808</v>
      </c>
      <c r="P112" s="329">
        <v>134.59061</v>
      </c>
      <c r="Q112" s="460">
        <f>N112+O112+P112</f>
        <v>180.98253</v>
      </c>
      <c r="R112" s="460">
        <f>O112+P112+Q112</f>
        <v>302.96506</v>
      </c>
      <c r="S112" s="461">
        <f t="shared" si="30"/>
        <v>167.40016840299447</v>
      </c>
    </row>
    <row r="113" spans="1:19" s="1" customFormat="1" ht="16.5" customHeight="1" thickBot="1">
      <c r="A113" s="17" t="s">
        <v>257</v>
      </c>
      <c r="B113" s="18" t="s">
        <v>254</v>
      </c>
      <c r="C113" s="19" t="s">
        <v>198</v>
      </c>
      <c r="D113" s="19" t="s">
        <v>256</v>
      </c>
      <c r="E113" s="20"/>
      <c r="F113" s="21"/>
      <c r="G113" s="199">
        <f aca="true" t="shared" si="47" ref="G113:R116">G114</f>
        <v>300</v>
      </c>
      <c r="H113" s="22">
        <f t="shared" si="47"/>
        <v>300</v>
      </c>
      <c r="I113" s="22">
        <f t="shared" si="47"/>
        <v>300</v>
      </c>
      <c r="J113" s="199">
        <f t="shared" si="47"/>
        <v>0</v>
      </c>
      <c r="K113" s="285">
        <f t="shared" si="47"/>
        <v>300</v>
      </c>
      <c r="L113" s="285">
        <f t="shared" si="47"/>
        <v>0</v>
      </c>
      <c r="M113" s="285">
        <f t="shared" si="47"/>
        <v>0</v>
      </c>
      <c r="N113" s="285">
        <f t="shared" si="47"/>
        <v>300</v>
      </c>
      <c r="O113" s="285">
        <f t="shared" si="47"/>
        <v>0</v>
      </c>
      <c r="P113" s="285">
        <f t="shared" si="47"/>
        <v>0</v>
      </c>
      <c r="Q113" s="492">
        <f t="shared" si="47"/>
        <v>300</v>
      </c>
      <c r="R113" s="493">
        <f t="shared" si="47"/>
        <v>0</v>
      </c>
      <c r="S113" s="494">
        <f t="shared" si="30"/>
        <v>0</v>
      </c>
    </row>
    <row r="114" spans="1:19" s="1" customFormat="1" ht="16.5" customHeight="1">
      <c r="A114" s="109" t="s">
        <v>257</v>
      </c>
      <c r="B114" s="99" t="s">
        <v>254</v>
      </c>
      <c r="C114" s="112" t="s">
        <v>198</v>
      </c>
      <c r="D114" s="112" t="s">
        <v>256</v>
      </c>
      <c r="E114" s="113" t="s">
        <v>258</v>
      </c>
      <c r="F114" s="104"/>
      <c r="G114" s="88">
        <f t="shared" si="47"/>
        <v>300</v>
      </c>
      <c r="H114" s="55">
        <f t="shared" si="47"/>
        <v>300</v>
      </c>
      <c r="I114" s="55">
        <f t="shared" si="47"/>
        <v>300</v>
      </c>
      <c r="J114" s="88">
        <f t="shared" si="47"/>
        <v>0</v>
      </c>
      <c r="K114" s="290">
        <f t="shared" si="47"/>
        <v>300</v>
      </c>
      <c r="L114" s="290">
        <f t="shared" si="47"/>
        <v>0</v>
      </c>
      <c r="M114" s="290">
        <f t="shared" si="47"/>
        <v>0</v>
      </c>
      <c r="N114" s="290">
        <f t="shared" si="47"/>
        <v>300</v>
      </c>
      <c r="O114" s="290">
        <f t="shared" si="47"/>
        <v>0</v>
      </c>
      <c r="P114" s="290">
        <f t="shared" si="47"/>
        <v>0</v>
      </c>
      <c r="Q114" s="480">
        <f t="shared" si="47"/>
        <v>300</v>
      </c>
      <c r="R114" s="480">
        <f t="shared" si="47"/>
        <v>0</v>
      </c>
      <c r="S114" s="481">
        <f t="shared" si="30"/>
        <v>0</v>
      </c>
    </row>
    <row r="115" spans="1:19" ht="15.75" customHeight="1" thickBot="1">
      <c r="A115" s="181" t="s">
        <v>259</v>
      </c>
      <c r="B115" s="141" t="s">
        <v>254</v>
      </c>
      <c r="C115" s="76" t="s">
        <v>198</v>
      </c>
      <c r="D115" s="76" t="s">
        <v>256</v>
      </c>
      <c r="E115" s="77" t="s">
        <v>260</v>
      </c>
      <c r="F115" s="78" t="s">
        <v>111</v>
      </c>
      <c r="G115" s="89">
        <f t="shared" si="47"/>
        <v>300</v>
      </c>
      <c r="H115" s="82">
        <f t="shared" si="47"/>
        <v>300</v>
      </c>
      <c r="I115" s="82">
        <f t="shared" si="47"/>
        <v>300</v>
      </c>
      <c r="J115" s="89"/>
      <c r="K115" s="275">
        <v>300</v>
      </c>
      <c r="L115" s="315"/>
      <c r="M115" s="82"/>
      <c r="N115" s="89">
        <f>K115+L115+M115</f>
        <v>300</v>
      </c>
      <c r="O115" s="89"/>
      <c r="P115" s="275"/>
      <c r="Q115" s="448">
        <f>N115+O115+P115</f>
        <v>300</v>
      </c>
      <c r="R115" s="448">
        <v>0</v>
      </c>
      <c r="S115" s="444">
        <f t="shared" si="30"/>
        <v>0</v>
      </c>
    </row>
    <row r="116" spans="1:19" s="1" customFormat="1" ht="0.75" customHeight="1" hidden="1">
      <c r="A116" s="181" t="s">
        <v>118</v>
      </c>
      <c r="B116" s="141" t="s">
        <v>254</v>
      </c>
      <c r="C116" s="76" t="s">
        <v>198</v>
      </c>
      <c r="D116" s="76" t="s">
        <v>256</v>
      </c>
      <c r="E116" s="77" t="s">
        <v>260</v>
      </c>
      <c r="F116" s="78" t="s">
        <v>111</v>
      </c>
      <c r="G116" s="89">
        <f t="shared" si="47"/>
        <v>300</v>
      </c>
      <c r="H116" s="82">
        <f t="shared" si="47"/>
        <v>300</v>
      </c>
      <c r="I116" s="82">
        <f t="shared" si="47"/>
        <v>300</v>
      </c>
      <c r="J116" s="89">
        <f t="shared" si="47"/>
        <v>300</v>
      </c>
      <c r="K116" s="275">
        <f t="shared" si="47"/>
        <v>300</v>
      </c>
      <c r="L116" s="315"/>
      <c r="M116" s="82"/>
      <c r="N116" s="89"/>
      <c r="O116" s="89"/>
      <c r="P116" s="275"/>
      <c r="Q116" s="448"/>
      <c r="R116" s="448"/>
      <c r="S116" s="459" t="e">
        <f t="shared" si="30"/>
        <v>#DIV/0!</v>
      </c>
    </row>
    <row r="117" spans="1:19" s="1" customFormat="1" ht="0.75" customHeight="1" hidden="1" thickBot="1">
      <c r="A117" s="29"/>
      <c r="B117" s="30"/>
      <c r="C117" s="79"/>
      <c r="D117" s="79"/>
      <c r="E117" s="80"/>
      <c r="F117" s="81" t="s">
        <v>237</v>
      </c>
      <c r="G117" s="97">
        <v>300</v>
      </c>
      <c r="H117" s="111">
        <v>300</v>
      </c>
      <c r="I117" s="111">
        <v>300</v>
      </c>
      <c r="J117" s="97">
        <v>300</v>
      </c>
      <c r="K117" s="269">
        <v>300</v>
      </c>
      <c r="L117" s="315"/>
      <c r="M117" s="82"/>
      <c r="N117" s="89"/>
      <c r="O117" s="89"/>
      <c r="P117" s="275"/>
      <c r="Q117" s="460"/>
      <c r="R117" s="460"/>
      <c r="S117" s="461" t="e">
        <f t="shared" si="30"/>
        <v>#DIV/0!</v>
      </c>
    </row>
    <row r="118" spans="1:19" s="1" customFormat="1" ht="15" thickBot="1">
      <c r="A118" s="17" t="s">
        <v>261</v>
      </c>
      <c r="B118" s="18" t="s">
        <v>201</v>
      </c>
      <c r="C118" s="19" t="s">
        <v>198</v>
      </c>
      <c r="D118" s="19" t="s">
        <v>262</v>
      </c>
      <c r="E118" s="20"/>
      <c r="F118" s="21"/>
      <c r="G118" s="199">
        <f>G119+G274+G281+G325</f>
        <v>4392.4</v>
      </c>
      <c r="H118" s="22">
        <f>H119+H274+H281+H325</f>
        <v>3923.7</v>
      </c>
      <c r="I118" s="22">
        <f>I119+I274+I281+I325</f>
        <v>3951.7000000000003</v>
      </c>
      <c r="J118" s="199">
        <f>J119+J274+J281+J325</f>
        <v>296</v>
      </c>
      <c r="K118" s="285">
        <f>K119+K274+K281+K325</f>
        <v>4688.4</v>
      </c>
      <c r="L118" s="316"/>
      <c r="M118" s="325"/>
      <c r="N118" s="323"/>
      <c r="O118" s="323"/>
      <c r="P118" s="450"/>
      <c r="Q118" s="492">
        <f>Q119+Q325</f>
        <v>4396.599999999999</v>
      </c>
      <c r="R118" s="493">
        <f>R119+R325</f>
        <v>4037.9847299999997</v>
      </c>
      <c r="S118" s="494">
        <f t="shared" si="30"/>
        <v>91.84335008870491</v>
      </c>
    </row>
    <row r="119" spans="1:19" s="1" customFormat="1" ht="51.75" thickBot="1">
      <c r="A119" s="122" t="s">
        <v>241</v>
      </c>
      <c r="B119" s="24" t="s">
        <v>202</v>
      </c>
      <c r="C119" s="25" t="s">
        <v>198</v>
      </c>
      <c r="D119" s="25" t="s">
        <v>262</v>
      </c>
      <c r="E119" s="25" t="s">
        <v>205</v>
      </c>
      <c r="F119" s="27"/>
      <c r="G119" s="201">
        <f aca="true" t="shared" si="48" ref="G119:N119">G163+G198+G228+G259</f>
        <v>3892.4</v>
      </c>
      <c r="H119" s="28">
        <f t="shared" si="48"/>
        <v>3923.7</v>
      </c>
      <c r="I119" s="28">
        <f t="shared" si="48"/>
        <v>3951.7000000000003</v>
      </c>
      <c r="J119" s="201">
        <f t="shared" si="48"/>
        <v>296</v>
      </c>
      <c r="K119" s="289">
        <f t="shared" si="48"/>
        <v>4188.4</v>
      </c>
      <c r="L119" s="289">
        <f t="shared" si="48"/>
        <v>0</v>
      </c>
      <c r="M119" s="289">
        <f t="shared" si="48"/>
        <v>0</v>
      </c>
      <c r="N119" s="289">
        <f t="shared" si="48"/>
        <v>4188.4</v>
      </c>
      <c r="O119" s="289">
        <f>O163+O198+O228+O259</f>
        <v>0</v>
      </c>
      <c r="P119" s="289">
        <f>P163+P198+P228+P259</f>
        <v>58</v>
      </c>
      <c r="Q119" s="480">
        <f>Q163+Q198+Q228+Q259</f>
        <v>4246.4</v>
      </c>
      <c r="R119" s="480">
        <f>R163+R198+R228+R259</f>
        <v>3889.75573</v>
      </c>
      <c r="S119" s="481">
        <f t="shared" si="30"/>
        <v>91.60125588733987</v>
      </c>
    </row>
    <row r="120" spans="1:19" s="1" customFormat="1" ht="13.5" hidden="1" thickBot="1">
      <c r="A120" s="109" t="s">
        <v>220</v>
      </c>
      <c r="B120" s="99" t="s">
        <v>202</v>
      </c>
      <c r="C120" s="100" t="s">
        <v>198</v>
      </c>
      <c r="D120" s="112" t="s">
        <v>262</v>
      </c>
      <c r="E120" s="110" t="s">
        <v>221</v>
      </c>
      <c r="F120" s="101" t="s">
        <v>201</v>
      </c>
      <c r="G120" s="88">
        <f>G121+G131</f>
        <v>0</v>
      </c>
      <c r="H120" s="55">
        <f>H121+H131</f>
        <v>0</v>
      </c>
      <c r="I120" s="55">
        <f>I121+I131</f>
        <v>0</v>
      </c>
      <c r="J120" s="88">
        <f>J121+J131</f>
        <v>0</v>
      </c>
      <c r="K120" s="290">
        <f>K121+K131</f>
        <v>0</v>
      </c>
      <c r="L120" s="313"/>
      <c r="M120" s="75"/>
      <c r="N120" s="96"/>
      <c r="O120" s="96"/>
      <c r="P120" s="287"/>
      <c r="Q120" s="449"/>
      <c r="R120" s="449"/>
      <c r="S120" s="465" t="e">
        <f t="shared" si="30"/>
        <v>#DIV/0!</v>
      </c>
    </row>
    <row r="121" spans="1:19" s="1" customFormat="1" ht="13.5" hidden="1" thickBot="1">
      <c r="A121" s="46" t="s">
        <v>208</v>
      </c>
      <c r="B121" s="71" t="s">
        <v>202</v>
      </c>
      <c r="C121" s="76" t="s">
        <v>198</v>
      </c>
      <c r="D121" s="72" t="s">
        <v>262</v>
      </c>
      <c r="E121" s="77" t="s">
        <v>221</v>
      </c>
      <c r="F121" s="78" t="s">
        <v>209</v>
      </c>
      <c r="G121" s="96">
        <f>G122+G129</f>
        <v>0</v>
      </c>
      <c r="H121" s="75">
        <f>H122+H129</f>
        <v>0</v>
      </c>
      <c r="I121" s="75">
        <f>I122+I129</f>
        <v>0</v>
      </c>
      <c r="J121" s="96">
        <f>J122+J129</f>
        <v>0</v>
      </c>
      <c r="K121" s="287">
        <f>K122+K129</f>
        <v>0</v>
      </c>
      <c r="L121" s="313"/>
      <c r="M121" s="75"/>
      <c r="N121" s="96"/>
      <c r="O121" s="96"/>
      <c r="P121" s="287"/>
      <c r="Q121" s="449"/>
      <c r="R121" s="449"/>
      <c r="S121" s="465" t="e">
        <f t="shared" si="30"/>
        <v>#DIV/0!</v>
      </c>
    </row>
    <row r="122" spans="1:19" s="1" customFormat="1" ht="13.5" hidden="1" thickBot="1">
      <c r="A122" s="46" t="s">
        <v>210</v>
      </c>
      <c r="B122" s="71" t="s">
        <v>202</v>
      </c>
      <c r="C122" s="76" t="s">
        <v>198</v>
      </c>
      <c r="D122" s="72" t="s">
        <v>262</v>
      </c>
      <c r="E122" s="77" t="s">
        <v>221</v>
      </c>
      <c r="F122" s="78" t="s">
        <v>209</v>
      </c>
      <c r="G122" s="202">
        <f>G123+G127</f>
        <v>0</v>
      </c>
      <c r="H122" s="114">
        <f>H123+H127</f>
        <v>0</v>
      </c>
      <c r="I122" s="114">
        <f>I123+I127</f>
        <v>0</v>
      </c>
      <c r="J122" s="202">
        <f>J123+J127</f>
        <v>0</v>
      </c>
      <c r="K122" s="293">
        <f>K123+K127</f>
        <v>0</v>
      </c>
      <c r="L122" s="317"/>
      <c r="M122" s="114"/>
      <c r="N122" s="202"/>
      <c r="O122" s="202"/>
      <c r="P122" s="293"/>
      <c r="Q122" s="458"/>
      <c r="R122" s="458"/>
      <c r="S122" s="465" t="e">
        <f t="shared" si="30"/>
        <v>#DIV/0!</v>
      </c>
    </row>
    <row r="123" spans="1:19" s="1" customFormat="1" ht="13.5" hidden="1" thickBot="1">
      <c r="A123" s="46" t="s">
        <v>222</v>
      </c>
      <c r="B123" s="71" t="s">
        <v>202</v>
      </c>
      <c r="C123" s="76" t="s">
        <v>198</v>
      </c>
      <c r="D123" s="72" t="s">
        <v>262</v>
      </c>
      <c r="E123" s="77" t="s">
        <v>221</v>
      </c>
      <c r="F123" s="78" t="s">
        <v>209</v>
      </c>
      <c r="G123" s="96">
        <f>SUM(G124:G126)</f>
        <v>0</v>
      </c>
      <c r="H123" s="75">
        <f>SUM(H124:H126)</f>
        <v>0</v>
      </c>
      <c r="I123" s="75">
        <f>SUM(I124:I126)</f>
        <v>0</v>
      </c>
      <c r="J123" s="96">
        <f>SUM(J124:J126)</f>
        <v>0</v>
      </c>
      <c r="K123" s="287">
        <f>SUM(K124:K126)</f>
        <v>0</v>
      </c>
      <c r="L123" s="313"/>
      <c r="M123" s="75"/>
      <c r="N123" s="96"/>
      <c r="O123" s="96"/>
      <c r="P123" s="287"/>
      <c r="Q123" s="449"/>
      <c r="R123" s="449"/>
      <c r="S123" s="465" t="e">
        <f t="shared" si="30"/>
        <v>#DIV/0!</v>
      </c>
    </row>
    <row r="124" spans="1:19" s="1" customFormat="1" ht="13.5" hidden="1" thickBot="1">
      <c r="A124" s="46" t="s">
        <v>212</v>
      </c>
      <c r="B124" s="71" t="s">
        <v>202</v>
      </c>
      <c r="C124" s="76" t="s">
        <v>198</v>
      </c>
      <c r="D124" s="72" t="s">
        <v>262</v>
      </c>
      <c r="E124" s="77" t="s">
        <v>221</v>
      </c>
      <c r="F124" s="78" t="s">
        <v>209</v>
      </c>
      <c r="G124" s="96"/>
      <c r="H124" s="75"/>
      <c r="I124" s="75"/>
      <c r="J124" s="96"/>
      <c r="K124" s="287"/>
      <c r="L124" s="313"/>
      <c r="M124" s="75"/>
      <c r="N124" s="96"/>
      <c r="O124" s="96"/>
      <c r="P124" s="287"/>
      <c r="Q124" s="449"/>
      <c r="R124" s="449"/>
      <c r="S124" s="465" t="e">
        <f t="shared" si="30"/>
        <v>#DIV/0!</v>
      </c>
    </row>
    <row r="125" spans="1:19" s="1" customFormat="1" ht="13.5" hidden="1" thickBot="1">
      <c r="A125" s="46" t="s">
        <v>213</v>
      </c>
      <c r="B125" s="71" t="s">
        <v>202</v>
      </c>
      <c r="C125" s="76" t="s">
        <v>198</v>
      </c>
      <c r="D125" s="72" t="s">
        <v>262</v>
      </c>
      <c r="E125" s="77" t="s">
        <v>221</v>
      </c>
      <c r="F125" s="78" t="s">
        <v>209</v>
      </c>
      <c r="G125" s="96"/>
      <c r="H125" s="75"/>
      <c r="I125" s="75"/>
      <c r="J125" s="96"/>
      <c r="K125" s="287"/>
      <c r="L125" s="313"/>
      <c r="M125" s="75"/>
      <c r="N125" s="96"/>
      <c r="O125" s="96"/>
      <c r="P125" s="287"/>
      <c r="Q125" s="449"/>
      <c r="R125" s="449"/>
      <c r="S125" s="465" t="e">
        <f t="shared" si="30"/>
        <v>#DIV/0!</v>
      </c>
    </row>
    <row r="126" spans="1:19" s="1" customFormat="1" ht="13.5" hidden="1" thickBot="1">
      <c r="A126" s="46" t="s">
        <v>214</v>
      </c>
      <c r="B126" s="71" t="s">
        <v>202</v>
      </c>
      <c r="C126" s="76" t="s">
        <v>198</v>
      </c>
      <c r="D126" s="72" t="s">
        <v>262</v>
      </c>
      <c r="E126" s="77" t="s">
        <v>221</v>
      </c>
      <c r="F126" s="78" t="s">
        <v>209</v>
      </c>
      <c r="G126" s="96"/>
      <c r="H126" s="75"/>
      <c r="I126" s="75"/>
      <c r="J126" s="96"/>
      <c r="K126" s="287"/>
      <c r="L126" s="313"/>
      <c r="M126" s="75"/>
      <c r="N126" s="96"/>
      <c r="O126" s="96"/>
      <c r="P126" s="287"/>
      <c r="Q126" s="449"/>
      <c r="R126" s="449"/>
      <c r="S126" s="465" t="e">
        <f t="shared" si="30"/>
        <v>#DIV/0!</v>
      </c>
    </row>
    <row r="127" spans="1:19" s="1" customFormat="1" ht="13.5" hidden="1" thickBot="1">
      <c r="A127" s="46" t="s">
        <v>222</v>
      </c>
      <c r="B127" s="71" t="s">
        <v>202</v>
      </c>
      <c r="C127" s="76" t="s">
        <v>198</v>
      </c>
      <c r="D127" s="72" t="s">
        <v>262</v>
      </c>
      <c r="E127" s="77" t="s">
        <v>221</v>
      </c>
      <c r="F127" s="78" t="s">
        <v>209</v>
      </c>
      <c r="G127" s="96">
        <f>G128</f>
        <v>0</v>
      </c>
      <c r="H127" s="75">
        <f>H128</f>
        <v>0</v>
      </c>
      <c r="I127" s="75">
        <f>I128</f>
        <v>0</v>
      </c>
      <c r="J127" s="96">
        <f>J128</f>
        <v>0</v>
      </c>
      <c r="K127" s="287">
        <f>K128</f>
        <v>0</v>
      </c>
      <c r="L127" s="313"/>
      <c r="M127" s="75"/>
      <c r="N127" s="96"/>
      <c r="O127" s="96"/>
      <c r="P127" s="287"/>
      <c r="Q127" s="449"/>
      <c r="R127" s="449"/>
      <c r="S127" s="465" t="e">
        <f t="shared" si="30"/>
        <v>#DIV/0!</v>
      </c>
    </row>
    <row r="128" spans="1:19" s="1" customFormat="1" ht="13.5" hidden="1" thickBot="1">
      <c r="A128" s="46" t="s">
        <v>223</v>
      </c>
      <c r="B128" s="71" t="s">
        <v>202</v>
      </c>
      <c r="C128" s="76" t="s">
        <v>198</v>
      </c>
      <c r="D128" s="72" t="s">
        <v>262</v>
      </c>
      <c r="E128" s="77" t="s">
        <v>221</v>
      </c>
      <c r="F128" s="78" t="s">
        <v>209</v>
      </c>
      <c r="G128" s="96"/>
      <c r="H128" s="75"/>
      <c r="I128" s="75"/>
      <c r="J128" s="96"/>
      <c r="K128" s="287"/>
      <c r="L128" s="313"/>
      <c r="M128" s="75"/>
      <c r="N128" s="96"/>
      <c r="O128" s="96"/>
      <c r="P128" s="287"/>
      <c r="Q128" s="449"/>
      <c r="R128" s="449"/>
      <c r="S128" s="465" t="e">
        <f t="shared" si="30"/>
        <v>#DIV/0!</v>
      </c>
    </row>
    <row r="129" spans="1:19" s="1" customFormat="1" ht="12.75" customHeight="1" hidden="1">
      <c r="A129" s="46" t="s">
        <v>228</v>
      </c>
      <c r="B129" s="71" t="s">
        <v>202</v>
      </c>
      <c r="C129" s="76" t="s">
        <v>198</v>
      </c>
      <c r="D129" s="72" t="s">
        <v>262</v>
      </c>
      <c r="E129" s="77" t="s">
        <v>221</v>
      </c>
      <c r="F129" s="78" t="s">
        <v>209</v>
      </c>
      <c r="G129" s="96">
        <f>G130</f>
        <v>0</v>
      </c>
      <c r="H129" s="75">
        <f>H130</f>
        <v>0</v>
      </c>
      <c r="I129" s="75">
        <f>I130</f>
        <v>0</v>
      </c>
      <c r="J129" s="96">
        <f>J130</f>
        <v>0</v>
      </c>
      <c r="K129" s="287">
        <f>K130</f>
        <v>0</v>
      </c>
      <c r="L129" s="313"/>
      <c r="M129" s="75"/>
      <c r="N129" s="96"/>
      <c r="O129" s="96"/>
      <c r="P129" s="287"/>
      <c r="Q129" s="449"/>
      <c r="R129" s="449"/>
      <c r="S129" s="465" t="e">
        <f t="shared" si="30"/>
        <v>#DIV/0!</v>
      </c>
    </row>
    <row r="130" spans="1:19" s="1" customFormat="1" ht="0.75" customHeight="1" hidden="1">
      <c r="A130" s="46" t="s">
        <v>230</v>
      </c>
      <c r="B130" s="71" t="s">
        <v>202</v>
      </c>
      <c r="C130" s="76" t="s">
        <v>198</v>
      </c>
      <c r="D130" s="72" t="s">
        <v>262</v>
      </c>
      <c r="E130" s="77" t="s">
        <v>221</v>
      </c>
      <c r="F130" s="78" t="s">
        <v>209</v>
      </c>
      <c r="G130" s="96"/>
      <c r="H130" s="75"/>
      <c r="I130" s="75"/>
      <c r="J130" s="96"/>
      <c r="K130" s="287"/>
      <c r="L130" s="313"/>
      <c r="M130" s="75"/>
      <c r="N130" s="96"/>
      <c r="O130" s="96"/>
      <c r="P130" s="287"/>
      <c r="Q130" s="449"/>
      <c r="R130" s="449"/>
      <c r="S130" s="465" t="e">
        <f t="shared" si="30"/>
        <v>#DIV/0!</v>
      </c>
    </row>
    <row r="131" spans="1:19" s="1" customFormat="1" ht="0.75" customHeight="1" hidden="1">
      <c r="A131" s="46" t="s">
        <v>220</v>
      </c>
      <c r="B131" s="71" t="s">
        <v>202</v>
      </c>
      <c r="C131" s="76" t="s">
        <v>198</v>
      </c>
      <c r="D131" s="76" t="s">
        <v>262</v>
      </c>
      <c r="E131" s="76" t="s">
        <v>264</v>
      </c>
      <c r="F131" s="78" t="s">
        <v>201</v>
      </c>
      <c r="G131" s="96">
        <f>G132</f>
        <v>0</v>
      </c>
      <c r="H131" s="75">
        <f>H132</f>
        <v>0</v>
      </c>
      <c r="I131" s="75">
        <f>I132</f>
        <v>0</v>
      </c>
      <c r="J131" s="96">
        <f>J132</f>
        <v>0</v>
      </c>
      <c r="K131" s="287">
        <f>K132</f>
        <v>0</v>
      </c>
      <c r="L131" s="313"/>
      <c r="M131" s="75"/>
      <c r="N131" s="96"/>
      <c r="O131" s="96"/>
      <c r="P131" s="287"/>
      <c r="Q131" s="449"/>
      <c r="R131" s="449"/>
      <c r="S131" s="465" t="e">
        <f t="shared" si="30"/>
        <v>#DIV/0!</v>
      </c>
    </row>
    <row r="132" spans="1:19" s="1" customFormat="1" ht="13.5" hidden="1" thickBot="1">
      <c r="A132" s="46" t="s">
        <v>208</v>
      </c>
      <c r="B132" s="71" t="s">
        <v>202</v>
      </c>
      <c r="C132" s="76" t="s">
        <v>198</v>
      </c>
      <c r="D132" s="76" t="s">
        <v>262</v>
      </c>
      <c r="E132" s="76" t="s">
        <v>264</v>
      </c>
      <c r="F132" s="78" t="s">
        <v>209</v>
      </c>
      <c r="G132" s="96">
        <f>G133+G141</f>
        <v>0</v>
      </c>
      <c r="H132" s="75">
        <f>H133+H141</f>
        <v>0</v>
      </c>
      <c r="I132" s="75">
        <f>I133+I141</f>
        <v>0</v>
      </c>
      <c r="J132" s="96">
        <f>J133+J141</f>
        <v>0</v>
      </c>
      <c r="K132" s="287">
        <f>K133+K141</f>
        <v>0</v>
      </c>
      <c r="L132" s="313"/>
      <c r="M132" s="75"/>
      <c r="N132" s="96"/>
      <c r="O132" s="96"/>
      <c r="P132" s="287"/>
      <c r="Q132" s="449"/>
      <c r="R132" s="449"/>
      <c r="S132" s="465" t="e">
        <f t="shared" si="30"/>
        <v>#DIV/0!</v>
      </c>
    </row>
    <row r="133" spans="1:19" s="1" customFormat="1" ht="13.5" hidden="1" thickBot="1">
      <c r="A133" s="46" t="s">
        <v>210</v>
      </c>
      <c r="B133" s="71" t="s">
        <v>202</v>
      </c>
      <c r="C133" s="76" t="s">
        <v>198</v>
      </c>
      <c r="D133" s="76" t="s">
        <v>262</v>
      </c>
      <c r="E133" s="76" t="s">
        <v>264</v>
      </c>
      <c r="F133" s="78" t="s">
        <v>209</v>
      </c>
      <c r="G133" s="202">
        <f>G134+G138</f>
        <v>0</v>
      </c>
      <c r="H133" s="114">
        <f>H134+H138</f>
        <v>0</v>
      </c>
      <c r="I133" s="114">
        <f>I134+I138</f>
        <v>0</v>
      </c>
      <c r="J133" s="202">
        <f>J134+J138</f>
        <v>0</v>
      </c>
      <c r="K133" s="293">
        <f>K134+K138</f>
        <v>0</v>
      </c>
      <c r="L133" s="317"/>
      <c r="M133" s="114"/>
      <c r="N133" s="202"/>
      <c r="O133" s="202"/>
      <c r="P133" s="293"/>
      <c r="Q133" s="458"/>
      <c r="R133" s="458"/>
      <c r="S133" s="465" t="e">
        <f t="shared" si="30"/>
        <v>#DIV/0!</v>
      </c>
    </row>
    <row r="134" spans="1:19" s="1" customFormat="1" ht="13.5" hidden="1" thickBot="1">
      <c r="A134" s="46" t="s">
        <v>222</v>
      </c>
      <c r="B134" s="71" t="s">
        <v>202</v>
      </c>
      <c r="C134" s="76" t="s">
        <v>198</v>
      </c>
      <c r="D134" s="76" t="s">
        <v>262</v>
      </c>
      <c r="E134" s="76" t="s">
        <v>264</v>
      </c>
      <c r="F134" s="78" t="s">
        <v>209</v>
      </c>
      <c r="G134" s="96">
        <f>SUM(G135:G137)</f>
        <v>0</v>
      </c>
      <c r="H134" s="75">
        <f>SUM(H135:H137)</f>
        <v>0</v>
      </c>
      <c r="I134" s="75">
        <f>SUM(I135:I137)</f>
        <v>0</v>
      </c>
      <c r="J134" s="96">
        <f>SUM(J135:J137)</f>
        <v>0</v>
      </c>
      <c r="K134" s="287">
        <f>SUM(K135:K137)</f>
        <v>0</v>
      </c>
      <c r="L134" s="313"/>
      <c r="M134" s="75"/>
      <c r="N134" s="96"/>
      <c r="O134" s="96"/>
      <c r="P134" s="287"/>
      <c r="Q134" s="449"/>
      <c r="R134" s="449"/>
      <c r="S134" s="465" t="e">
        <f t="shared" si="30"/>
        <v>#DIV/0!</v>
      </c>
    </row>
    <row r="135" spans="1:19" s="1" customFormat="1" ht="13.5" hidden="1" thickBot="1">
      <c r="A135" s="46" t="s">
        <v>212</v>
      </c>
      <c r="B135" s="71" t="s">
        <v>202</v>
      </c>
      <c r="C135" s="76" t="s">
        <v>198</v>
      </c>
      <c r="D135" s="76" t="s">
        <v>262</v>
      </c>
      <c r="E135" s="76" t="s">
        <v>264</v>
      </c>
      <c r="F135" s="78" t="s">
        <v>209</v>
      </c>
      <c r="G135" s="96">
        <v>0</v>
      </c>
      <c r="H135" s="75">
        <v>0</v>
      </c>
      <c r="I135" s="75">
        <v>0</v>
      </c>
      <c r="J135" s="96">
        <v>0</v>
      </c>
      <c r="K135" s="287">
        <v>0</v>
      </c>
      <c r="L135" s="313"/>
      <c r="M135" s="75"/>
      <c r="N135" s="96"/>
      <c r="O135" s="96"/>
      <c r="P135" s="287"/>
      <c r="Q135" s="449"/>
      <c r="R135" s="449"/>
      <c r="S135" s="465" t="e">
        <f t="shared" si="30"/>
        <v>#DIV/0!</v>
      </c>
    </row>
    <row r="136" spans="1:19" s="1" customFormat="1" ht="13.5" hidden="1" thickBot="1">
      <c r="A136" s="46" t="s">
        <v>213</v>
      </c>
      <c r="B136" s="71" t="s">
        <v>202</v>
      </c>
      <c r="C136" s="76" t="s">
        <v>198</v>
      </c>
      <c r="D136" s="76" t="s">
        <v>262</v>
      </c>
      <c r="E136" s="76" t="s">
        <v>264</v>
      </c>
      <c r="F136" s="78" t="s">
        <v>209</v>
      </c>
      <c r="G136" s="96"/>
      <c r="H136" s="75"/>
      <c r="I136" s="75"/>
      <c r="J136" s="96"/>
      <c r="K136" s="287"/>
      <c r="L136" s="313"/>
      <c r="M136" s="75"/>
      <c r="N136" s="96"/>
      <c r="O136" s="96"/>
      <c r="P136" s="287"/>
      <c r="Q136" s="449"/>
      <c r="R136" s="449"/>
      <c r="S136" s="465" t="e">
        <f t="shared" si="30"/>
        <v>#DIV/0!</v>
      </c>
    </row>
    <row r="137" spans="1:19" s="1" customFormat="1" ht="13.5" hidden="1" thickBot="1">
      <c r="A137" s="46" t="s">
        <v>214</v>
      </c>
      <c r="B137" s="71" t="s">
        <v>202</v>
      </c>
      <c r="C137" s="76" t="s">
        <v>198</v>
      </c>
      <c r="D137" s="76" t="s">
        <v>262</v>
      </c>
      <c r="E137" s="76" t="s">
        <v>264</v>
      </c>
      <c r="F137" s="78" t="s">
        <v>209</v>
      </c>
      <c r="G137" s="96">
        <v>0</v>
      </c>
      <c r="H137" s="75">
        <v>0</v>
      </c>
      <c r="I137" s="75">
        <v>0</v>
      </c>
      <c r="J137" s="96">
        <v>0</v>
      </c>
      <c r="K137" s="287">
        <v>0</v>
      </c>
      <c r="L137" s="313"/>
      <c r="M137" s="75"/>
      <c r="N137" s="96"/>
      <c r="O137" s="96"/>
      <c r="P137" s="287"/>
      <c r="Q137" s="449"/>
      <c r="R137" s="449"/>
      <c r="S137" s="465" t="e">
        <f t="shared" si="30"/>
        <v>#DIV/0!</v>
      </c>
    </row>
    <row r="138" spans="1:19" s="1" customFormat="1" ht="13.5" hidden="1" thickBot="1">
      <c r="A138" s="46" t="s">
        <v>222</v>
      </c>
      <c r="B138" s="71" t="s">
        <v>202</v>
      </c>
      <c r="C138" s="76" t="s">
        <v>198</v>
      </c>
      <c r="D138" s="76" t="s">
        <v>262</v>
      </c>
      <c r="E138" s="76" t="s">
        <v>264</v>
      </c>
      <c r="F138" s="78" t="s">
        <v>209</v>
      </c>
      <c r="G138" s="96">
        <f>G139+G140</f>
        <v>0</v>
      </c>
      <c r="H138" s="75">
        <f>H139+H140</f>
        <v>0</v>
      </c>
      <c r="I138" s="75">
        <f>I139+I140</f>
        <v>0</v>
      </c>
      <c r="J138" s="96">
        <f>J139+J140</f>
        <v>0</v>
      </c>
      <c r="K138" s="287">
        <f>K139+K140</f>
        <v>0</v>
      </c>
      <c r="L138" s="313"/>
      <c r="M138" s="75"/>
      <c r="N138" s="96"/>
      <c r="O138" s="96"/>
      <c r="P138" s="287"/>
      <c r="Q138" s="449"/>
      <c r="R138" s="449"/>
      <c r="S138" s="465" t="e">
        <f t="shared" si="30"/>
        <v>#DIV/0!</v>
      </c>
    </row>
    <row r="139" spans="1:19" s="1" customFormat="1" ht="13.5" hidden="1" thickBot="1">
      <c r="A139" s="46" t="s">
        <v>223</v>
      </c>
      <c r="B139" s="71" t="s">
        <v>202</v>
      </c>
      <c r="C139" s="76" t="s">
        <v>198</v>
      </c>
      <c r="D139" s="76" t="s">
        <v>262</v>
      </c>
      <c r="E139" s="76" t="s">
        <v>264</v>
      </c>
      <c r="F139" s="78" t="s">
        <v>209</v>
      </c>
      <c r="G139" s="96">
        <v>0</v>
      </c>
      <c r="H139" s="75">
        <v>0</v>
      </c>
      <c r="I139" s="75">
        <v>0</v>
      </c>
      <c r="J139" s="96">
        <v>0</v>
      </c>
      <c r="K139" s="287">
        <v>0</v>
      </c>
      <c r="L139" s="313"/>
      <c r="M139" s="75"/>
      <c r="N139" s="96"/>
      <c r="O139" s="96"/>
      <c r="P139" s="287"/>
      <c r="Q139" s="449"/>
      <c r="R139" s="449"/>
      <c r="S139" s="465" t="e">
        <f t="shared" si="30"/>
        <v>#DIV/0!</v>
      </c>
    </row>
    <row r="140" spans="1:19" s="1" customFormat="1" ht="13.5" hidden="1" thickBot="1">
      <c r="A140" s="46" t="s">
        <v>226</v>
      </c>
      <c r="B140" s="71" t="s">
        <v>202</v>
      </c>
      <c r="C140" s="76" t="s">
        <v>198</v>
      </c>
      <c r="D140" s="76" t="s">
        <v>262</v>
      </c>
      <c r="E140" s="76" t="s">
        <v>264</v>
      </c>
      <c r="F140" s="78" t="s">
        <v>209</v>
      </c>
      <c r="G140" s="96">
        <v>0</v>
      </c>
      <c r="H140" s="75">
        <v>0</v>
      </c>
      <c r="I140" s="75">
        <v>0</v>
      </c>
      <c r="J140" s="96">
        <v>0</v>
      </c>
      <c r="K140" s="287">
        <v>0</v>
      </c>
      <c r="L140" s="313"/>
      <c r="M140" s="75"/>
      <c r="N140" s="96"/>
      <c r="O140" s="96"/>
      <c r="P140" s="287"/>
      <c r="Q140" s="449"/>
      <c r="R140" s="449"/>
      <c r="S140" s="465" t="e">
        <f t="shared" si="30"/>
        <v>#DIV/0!</v>
      </c>
    </row>
    <row r="141" spans="1:19" s="1" customFormat="1" ht="13.5" hidden="1" thickBot="1">
      <c r="A141" s="46" t="s">
        <v>228</v>
      </c>
      <c r="B141" s="71" t="s">
        <v>202</v>
      </c>
      <c r="C141" s="76" t="s">
        <v>198</v>
      </c>
      <c r="D141" s="76" t="s">
        <v>262</v>
      </c>
      <c r="E141" s="76" t="s">
        <v>264</v>
      </c>
      <c r="F141" s="78" t="s">
        <v>209</v>
      </c>
      <c r="G141" s="96">
        <f>G142+G143</f>
        <v>0</v>
      </c>
      <c r="H141" s="75">
        <f>H142+H143</f>
        <v>0</v>
      </c>
      <c r="I141" s="75">
        <f>I142+I143</f>
        <v>0</v>
      </c>
      <c r="J141" s="96">
        <f>J142+J143</f>
        <v>0</v>
      </c>
      <c r="K141" s="287">
        <f>K142+K143</f>
        <v>0</v>
      </c>
      <c r="L141" s="313"/>
      <c r="M141" s="75"/>
      <c r="N141" s="96"/>
      <c r="O141" s="96"/>
      <c r="P141" s="287"/>
      <c r="Q141" s="449"/>
      <c r="R141" s="449"/>
      <c r="S141" s="465" t="e">
        <f t="shared" si="30"/>
        <v>#DIV/0!</v>
      </c>
    </row>
    <row r="142" spans="1:19" s="1" customFormat="1" ht="13.5" hidden="1" thickBot="1">
      <c r="A142" s="46" t="s">
        <v>265</v>
      </c>
      <c r="B142" s="71" t="s">
        <v>202</v>
      </c>
      <c r="C142" s="76" t="s">
        <v>198</v>
      </c>
      <c r="D142" s="76" t="s">
        <v>262</v>
      </c>
      <c r="E142" s="76" t="s">
        <v>264</v>
      </c>
      <c r="F142" s="78" t="s">
        <v>209</v>
      </c>
      <c r="G142" s="96">
        <v>0</v>
      </c>
      <c r="H142" s="75">
        <v>0</v>
      </c>
      <c r="I142" s="75">
        <v>0</v>
      </c>
      <c r="J142" s="96">
        <v>0</v>
      </c>
      <c r="K142" s="287">
        <v>0</v>
      </c>
      <c r="L142" s="313"/>
      <c r="M142" s="75"/>
      <c r="N142" s="96"/>
      <c r="O142" s="96"/>
      <c r="P142" s="287"/>
      <c r="Q142" s="449"/>
      <c r="R142" s="449"/>
      <c r="S142" s="465" t="e">
        <f t="shared" si="30"/>
        <v>#DIV/0!</v>
      </c>
    </row>
    <row r="143" spans="1:19" s="1" customFormat="1" ht="15" customHeight="1" hidden="1">
      <c r="A143" s="46" t="s">
        <v>230</v>
      </c>
      <c r="B143" s="71" t="s">
        <v>202</v>
      </c>
      <c r="C143" s="76" t="s">
        <v>198</v>
      </c>
      <c r="D143" s="76" t="s">
        <v>262</v>
      </c>
      <c r="E143" s="76" t="s">
        <v>264</v>
      </c>
      <c r="F143" s="78" t="s">
        <v>209</v>
      </c>
      <c r="G143" s="96">
        <v>0</v>
      </c>
      <c r="H143" s="75">
        <v>0</v>
      </c>
      <c r="I143" s="75">
        <v>0</v>
      </c>
      <c r="J143" s="96">
        <v>0</v>
      </c>
      <c r="K143" s="287">
        <v>0</v>
      </c>
      <c r="L143" s="313"/>
      <c r="M143" s="75"/>
      <c r="N143" s="96"/>
      <c r="O143" s="96"/>
      <c r="P143" s="287"/>
      <c r="Q143" s="449"/>
      <c r="R143" s="449"/>
      <c r="S143" s="465" t="e">
        <f aca="true" t="shared" si="49" ref="S143:S206">R143/Q143*100</f>
        <v>#DIV/0!</v>
      </c>
    </row>
    <row r="144" spans="1:19" s="1" customFormat="1" ht="34.5" customHeight="1" hidden="1">
      <c r="A144" s="46" t="s">
        <v>241</v>
      </c>
      <c r="B144" s="71" t="s">
        <v>202</v>
      </c>
      <c r="C144" s="72" t="s">
        <v>198</v>
      </c>
      <c r="D144" s="76" t="s">
        <v>262</v>
      </c>
      <c r="E144" s="73" t="s">
        <v>205</v>
      </c>
      <c r="F144" s="74" t="s">
        <v>201</v>
      </c>
      <c r="G144" s="96">
        <f>G145+G163+G198+G228</f>
        <v>3482.8</v>
      </c>
      <c r="H144" s="75">
        <f>H145+H163+H198+H228</f>
        <v>3483</v>
      </c>
      <c r="I144" s="75">
        <f>I145+I163+I198+I228</f>
        <v>3482.8</v>
      </c>
      <c r="J144" s="96">
        <f>J145+J163+J198+J228</f>
        <v>266.6</v>
      </c>
      <c r="K144" s="287">
        <f>K145+K163+K198+K228</f>
        <v>3749.4</v>
      </c>
      <c r="L144" s="313"/>
      <c r="M144" s="75"/>
      <c r="N144" s="96"/>
      <c r="O144" s="96"/>
      <c r="P144" s="287"/>
      <c r="Q144" s="449"/>
      <c r="R144" s="449"/>
      <c r="S144" s="465" t="e">
        <f t="shared" si="49"/>
        <v>#DIV/0!</v>
      </c>
    </row>
    <row r="145" spans="1:19" s="1" customFormat="1" ht="13.5" hidden="1" thickBot="1">
      <c r="A145" s="46" t="s">
        <v>220</v>
      </c>
      <c r="B145" s="71" t="s">
        <v>202</v>
      </c>
      <c r="C145" s="76" t="s">
        <v>198</v>
      </c>
      <c r="D145" s="76" t="s">
        <v>262</v>
      </c>
      <c r="E145" s="77" t="s">
        <v>221</v>
      </c>
      <c r="F145" s="78" t="s">
        <v>201</v>
      </c>
      <c r="G145" s="96">
        <f>G146</f>
        <v>0</v>
      </c>
      <c r="H145" s="75">
        <f>H146</f>
        <v>0</v>
      </c>
      <c r="I145" s="75">
        <f>I146</f>
        <v>0</v>
      </c>
      <c r="J145" s="96">
        <f>J146</f>
        <v>0</v>
      </c>
      <c r="K145" s="287">
        <f>K146</f>
        <v>0</v>
      </c>
      <c r="L145" s="313"/>
      <c r="M145" s="75"/>
      <c r="N145" s="96"/>
      <c r="O145" s="96"/>
      <c r="P145" s="287"/>
      <c r="Q145" s="449"/>
      <c r="R145" s="449"/>
      <c r="S145" s="465" t="e">
        <f t="shared" si="49"/>
        <v>#DIV/0!</v>
      </c>
    </row>
    <row r="146" spans="1:19" s="1" customFormat="1" ht="13.5" hidden="1" thickBot="1">
      <c r="A146" s="46" t="s">
        <v>208</v>
      </c>
      <c r="B146" s="71" t="s">
        <v>202</v>
      </c>
      <c r="C146" s="76" t="s">
        <v>198</v>
      </c>
      <c r="D146" s="76" t="s">
        <v>262</v>
      </c>
      <c r="E146" s="77" t="s">
        <v>221</v>
      </c>
      <c r="F146" s="78" t="s">
        <v>209</v>
      </c>
      <c r="G146" s="96">
        <f>G147+G160</f>
        <v>0</v>
      </c>
      <c r="H146" s="75">
        <f>H147+H160</f>
        <v>0</v>
      </c>
      <c r="I146" s="75">
        <f>I147+I160</f>
        <v>0</v>
      </c>
      <c r="J146" s="96">
        <f>J147+J160</f>
        <v>0</v>
      </c>
      <c r="K146" s="287">
        <f>K147+K160</f>
        <v>0</v>
      </c>
      <c r="L146" s="313"/>
      <c r="M146" s="75"/>
      <c r="N146" s="96"/>
      <c r="O146" s="96"/>
      <c r="P146" s="287"/>
      <c r="Q146" s="449"/>
      <c r="R146" s="449"/>
      <c r="S146" s="465" t="e">
        <f t="shared" si="49"/>
        <v>#DIV/0!</v>
      </c>
    </row>
    <row r="147" spans="1:19" s="1" customFormat="1" ht="13.5" hidden="1" thickBot="1">
      <c r="A147" s="46" t="s">
        <v>210</v>
      </c>
      <c r="B147" s="71" t="s">
        <v>202</v>
      </c>
      <c r="C147" s="76" t="s">
        <v>198</v>
      </c>
      <c r="D147" s="76" t="s">
        <v>262</v>
      </c>
      <c r="E147" s="77" t="s">
        <v>221</v>
      </c>
      <c r="F147" s="78" t="s">
        <v>209</v>
      </c>
      <c r="G147" s="96">
        <f>G148+G152+G159</f>
        <v>0</v>
      </c>
      <c r="H147" s="75">
        <f>H148+H152+H159</f>
        <v>0</v>
      </c>
      <c r="I147" s="75">
        <f>I148+I152+I159</f>
        <v>0</v>
      </c>
      <c r="J147" s="96">
        <f>J148+J152+J159</f>
        <v>0</v>
      </c>
      <c r="K147" s="287">
        <f>K148+K152+K159</f>
        <v>0</v>
      </c>
      <c r="L147" s="313"/>
      <c r="M147" s="75"/>
      <c r="N147" s="96"/>
      <c r="O147" s="96"/>
      <c r="P147" s="287"/>
      <c r="Q147" s="449"/>
      <c r="R147" s="449"/>
      <c r="S147" s="465" t="e">
        <f t="shared" si="49"/>
        <v>#DIV/0!</v>
      </c>
    </row>
    <row r="148" spans="1:19" s="1" customFormat="1" ht="13.5" hidden="1" thickBot="1">
      <c r="A148" s="46" t="s">
        <v>222</v>
      </c>
      <c r="B148" s="71" t="s">
        <v>202</v>
      </c>
      <c r="C148" s="76" t="s">
        <v>198</v>
      </c>
      <c r="D148" s="76" t="s">
        <v>262</v>
      </c>
      <c r="E148" s="77" t="s">
        <v>221</v>
      </c>
      <c r="F148" s="78" t="s">
        <v>209</v>
      </c>
      <c r="G148" s="96">
        <f>SUM(G149:G151)</f>
        <v>0</v>
      </c>
      <c r="H148" s="75">
        <f>SUM(H149:H151)</f>
        <v>0</v>
      </c>
      <c r="I148" s="75">
        <f>SUM(I149:I151)</f>
        <v>0</v>
      </c>
      <c r="J148" s="96">
        <f>SUM(J149:J151)</f>
        <v>0</v>
      </c>
      <c r="K148" s="287">
        <f>SUM(K149:K151)</f>
        <v>0</v>
      </c>
      <c r="L148" s="313"/>
      <c r="M148" s="75"/>
      <c r="N148" s="96"/>
      <c r="O148" s="96"/>
      <c r="P148" s="287"/>
      <c r="Q148" s="449"/>
      <c r="R148" s="449"/>
      <c r="S148" s="465" t="e">
        <f t="shared" si="49"/>
        <v>#DIV/0!</v>
      </c>
    </row>
    <row r="149" spans="1:19" s="1" customFormat="1" ht="13.5" hidden="1" thickBot="1">
      <c r="A149" s="46" t="s">
        <v>212</v>
      </c>
      <c r="B149" s="71" t="s">
        <v>202</v>
      </c>
      <c r="C149" s="76" t="s">
        <v>198</v>
      </c>
      <c r="D149" s="76" t="s">
        <v>262</v>
      </c>
      <c r="E149" s="77" t="s">
        <v>221</v>
      </c>
      <c r="F149" s="78" t="s">
        <v>209</v>
      </c>
      <c r="G149" s="96"/>
      <c r="H149" s="75"/>
      <c r="I149" s="75"/>
      <c r="J149" s="96"/>
      <c r="K149" s="287"/>
      <c r="L149" s="313"/>
      <c r="M149" s="75"/>
      <c r="N149" s="96"/>
      <c r="O149" s="96"/>
      <c r="P149" s="287"/>
      <c r="Q149" s="449"/>
      <c r="R149" s="449"/>
      <c r="S149" s="465" t="e">
        <f t="shared" si="49"/>
        <v>#DIV/0!</v>
      </c>
    </row>
    <row r="150" spans="1:19" s="1" customFormat="1" ht="13.5" hidden="1" thickBot="1">
      <c r="A150" s="46" t="s">
        <v>213</v>
      </c>
      <c r="B150" s="71" t="s">
        <v>202</v>
      </c>
      <c r="C150" s="76" t="s">
        <v>198</v>
      </c>
      <c r="D150" s="76" t="s">
        <v>262</v>
      </c>
      <c r="E150" s="77" t="s">
        <v>221</v>
      </c>
      <c r="F150" s="78" t="s">
        <v>209</v>
      </c>
      <c r="G150" s="96"/>
      <c r="H150" s="75"/>
      <c r="I150" s="75"/>
      <c r="J150" s="96"/>
      <c r="K150" s="287"/>
      <c r="L150" s="313"/>
      <c r="M150" s="75"/>
      <c r="N150" s="96"/>
      <c r="O150" s="96"/>
      <c r="P150" s="287"/>
      <c r="Q150" s="449"/>
      <c r="R150" s="449"/>
      <c r="S150" s="465" t="e">
        <f t="shared" si="49"/>
        <v>#DIV/0!</v>
      </c>
    </row>
    <row r="151" spans="1:19" s="1" customFormat="1" ht="13.5" hidden="1" thickBot="1">
      <c r="A151" s="46" t="s">
        <v>214</v>
      </c>
      <c r="B151" s="71" t="s">
        <v>202</v>
      </c>
      <c r="C151" s="76" t="s">
        <v>198</v>
      </c>
      <c r="D151" s="76" t="s">
        <v>262</v>
      </c>
      <c r="E151" s="77" t="s">
        <v>221</v>
      </c>
      <c r="F151" s="78" t="s">
        <v>209</v>
      </c>
      <c r="G151" s="96"/>
      <c r="H151" s="75"/>
      <c r="I151" s="75"/>
      <c r="J151" s="96"/>
      <c r="K151" s="287"/>
      <c r="L151" s="313"/>
      <c r="M151" s="75"/>
      <c r="N151" s="96"/>
      <c r="O151" s="96"/>
      <c r="P151" s="287"/>
      <c r="Q151" s="449"/>
      <c r="R151" s="449"/>
      <c r="S151" s="465" t="e">
        <f t="shared" si="49"/>
        <v>#DIV/0!</v>
      </c>
    </row>
    <row r="152" spans="1:19" s="1" customFormat="1" ht="13.5" hidden="1" thickBot="1">
      <c r="A152" s="46" t="s">
        <v>222</v>
      </c>
      <c r="B152" s="71" t="s">
        <v>202</v>
      </c>
      <c r="C152" s="76" t="s">
        <v>198</v>
      </c>
      <c r="D152" s="76" t="s">
        <v>262</v>
      </c>
      <c r="E152" s="77" t="s">
        <v>221</v>
      </c>
      <c r="F152" s="78" t="s">
        <v>209</v>
      </c>
      <c r="G152" s="96">
        <f>SUM(G153:G158)</f>
        <v>0</v>
      </c>
      <c r="H152" s="75">
        <f>SUM(H153:H158)</f>
        <v>0</v>
      </c>
      <c r="I152" s="75">
        <f>SUM(I153:I158)</f>
        <v>0</v>
      </c>
      <c r="J152" s="96">
        <f>SUM(J153:J158)</f>
        <v>0</v>
      </c>
      <c r="K152" s="287">
        <f>SUM(K153:K158)</f>
        <v>0</v>
      </c>
      <c r="L152" s="313"/>
      <c r="M152" s="75"/>
      <c r="N152" s="96"/>
      <c r="O152" s="96"/>
      <c r="P152" s="287"/>
      <c r="Q152" s="449"/>
      <c r="R152" s="449"/>
      <c r="S152" s="465" t="e">
        <f t="shared" si="49"/>
        <v>#DIV/0!</v>
      </c>
    </row>
    <row r="153" spans="1:19" s="1" customFormat="1" ht="13.5" hidden="1" thickBot="1">
      <c r="A153" s="46" t="s">
        <v>223</v>
      </c>
      <c r="B153" s="71" t="s">
        <v>202</v>
      </c>
      <c r="C153" s="76" t="s">
        <v>198</v>
      </c>
      <c r="D153" s="76" t="s">
        <v>262</v>
      </c>
      <c r="E153" s="77" t="s">
        <v>221</v>
      </c>
      <c r="F153" s="78" t="s">
        <v>209</v>
      </c>
      <c r="G153" s="96"/>
      <c r="H153" s="75"/>
      <c r="I153" s="75"/>
      <c r="J153" s="96"/>
      <c r="K153" s="287"/>
      <c r="L153" s="313"/>
      <c r="M153" s="75"/>
      <c r="N153" s="96"/>
      <c r="O153" s="96"/>
      <c r="P153" s="287"/>
      <c r="Q153" s="449"/>
      <c r="R153" s="449"/>
      <c r="S153" s="465" t="e">
        <f t="shared" si="49"/>
        <v>#DIV/0!</v>
      </c>
    </row>
    <row r="154" spans="1:19" s="1" customFormat="1" ht="13.5" hidden="1" thickBot="1">
      <c r="A154" s="46" t="s">
        <v>224</v>
      </c>
      <c r="B154" s="71" t="s">
        <v>202</v>
      </c>
      <c r="C154" s="76" t="s">
        <v>198</v>
      </c>
      <c r="D154" s="76" t="s">
        <v>262</v>
      </c>
      <c r="E154" s="77" t="s">
        <v>221</v>
      </c>
      <c r="F154" s="78" t="s">
        <v>209</v>
      </c>
      <c r="G154" s="96"/>
      <c r="H154" s="75"/>
      <c r="I154" s="75"/>
      <c r="J154" s="96"/>
      <c r="K154" s="287"/>
      <c r="L154" s="313"/>
      <c r="M154" s="75"/>
      <c r="N154" s="96"/>
      <c r="O154" s="96"/>
      <c r="P154" s="287"/>
      <c r="Q154" s="449"/>
      <c r="R154" s="449"/>
      <c r="S154" s="465" t="e">
        <f t="shared" si="49"/>
        <v>#DIV/0!</v>
      </c>
    </row>
    <row r="155" spans="1:19" s="1" customFormat="1" ht="13.5" hidden="1" thickBot="1">
      <c r="A155" s="46" t="s">
        <v>242</v>
      </c>
      <c r="B155" s="71" t="s">
        <v>202</v>
      </c>
      <c r="C155" s="76" t="s">
        <v>198</v>
      </c>
      <c r="D155" s="76" t="s">
        <v>262</v>
      </c>
      <c r="E155" s="77" t="s">
        <v>221</v>
      </c>
      <c r="F155" s="78" t="s">
        <v>209</v>
      </c>
      <c r="G155" s="96"/>
      <c r="H155" s="75"/>
      <c r="I155" s="75"/>
      <c r="J155" s="96"/>
      <c r="K155" s="287"/>
      <c r="L155" s="313"/>
      <c r="M155" s="75"/>
      <c r="N155" s="96"/>
      <c r="O155" s="96"/>
      <c r="P155" s="287"/>
      <c r="Q155" s="449"/>
      <c r="R155" s="449"/>
      <c r="S155" s="465" t="e">
        <f t="shared" si="49"/>
        <v>#DIV/0!</v>
      </c>
    </row>
    <row r="156" spans="1:19" s="1" customFormat="1" ht="13.5" hidden="1" thickBot="1">
      <c r="A156" s="46" t="s">
        <v>243</v>
      </c>
      <c r="B156" s="71" t="s">
        <v>202</v>
      </c>
      <c r="C156" s="76" t="s">
        <v>198</v>
      </c>
      <c r="D156" s="76" t="s">
        <v>262</v>
      </c>
      <c r="E156" s="77" t="s">
        <v>221</v>
      </c>
      <c r="F156" s="78" t="s">
        <v>209</v>
      </c>
      <c r="G156" s="96"/>
      <c r="H156" s="75"/>
      <c r="I156" s="75"/>
      <c r="J156" s="96"/>
      <c r="K156" s="287"/>
      <c r="L156" s="313"/>
      <c r="M156" s="75"/>
      <c r="N156" s="96"/>
      <c r="O156" s="96"/>
      <c r="P156" s="287"/>
      <c r="Q156" s="449"/>
      <c r="R156" s="449"/>
      <c r="S156" s="465" t="e">
        <f t="shared" si="49"/>
        <v>#DIV/0!</v>
      </c>
    </row>
    <row r="157" spans="1:19" s="1" customFormat="1" ht="13.5" hidden="1" thickBot="1">
      <c r="A157" s="46" t="s">
        <v>225</v>
      </c>
      <c r="B157" s="71" t="s">
        <v>202</v>
      </c>
      <c r="C157" s="76" t="s">
        <v>198</v>
      </c>
      <c r="D157" s="76" t="s">
        <v>262</v>
      </c>
      <c r="E157" s="77" t="s">
        <v>221</v>
      </c>
      <c r="F157" s="78" t="s">
        <v>209</v>
      </c>
      <c r="G157" s="96"/>
      <c r="H157" s="75"/>
      <c r="I157" s="75"/>
      <c r="J157" s="96"/>
      <c r="K157" s="287"/>
      <c r="L157" s="313"/>
      <c r="M157" s="75"/>
      <c r="N157" s="96"/>
      <c r="O157" s="96"/>
      <c r="P157" s="287"/>
      <c r="Q157" s="449"/>
      <c r="R157" s="449"/>
      <c r="S157" s="465" t="e">
        <f t="shared" si="49"/>
        <v>#DIV/0!</v>
      </c>
    </row>
    <row r="158" spans="1:19" s="1" customFormat="1" ht="13.5" hidden="1" thickBot="1">
      <c r="A158" s="46" t="s">
        <v>226</v>
      </c>
      <c r="B158" s="71" t="s">
        <v>202</v>
      </c>
      <c r="C158" s="76" t="s">
        <v>198</v>
      </c>
      <c r="D158" s="76" t="s">
        <v>262</v>
      </c>
      <c r="E158" s="77" t="s">
        <v>221</v>
      </c>
      <c r="F158" s="78" t="s">
        <v>209</v>
      </c>
      <c r="G158" s="96"/>
      <c r="H158" s="75"/>
      <c r="I158" s="75"/>
      <c r="J158" s="96"/>
      <c r="K158" s="287"/>
      <c r="L158" s="313"/>
      <c r="M158" s="75"/>
      <c r="N158" s="96"/>
      <c r="O158" s="96"/>
      <c r="P158" s="287"/>
      <c r="Q158" s="449"/>
      <c r="R158" s="449"/>
      <c r="S158" s="465" t="e">
        <f t="shared" si="49"/>
        <v>#DIV/0!</v>
      </c>
    </row>
    <row r="159" spans="1:19" s="1" customFormat="1" ht="13.5" hidden="1" thickBot="1">
      <c r="A159" s="46" t="s">
        <v>227</v>
      </c>
      <c r="B159" s="71" t="s">
        <v>202</v>
      </c>
      <c r="C159" s="76" t="s">
        <v>198</v>
      </c>
      <c r="D159" s="76" t="s">
        <v>262</v>
      </c>
      <c r="E159" s="77" t="s">
        <v>221</v>
      </c>
      <c r="F159" s="78" t="s">
        <v>209</v>
      </c>
      <c r="G159" s="96"/>
      <c r="H159" s="75"/>
      <c r="I159" s="75"/>
      <c r="J159" s="96"/>
      <c r="K159" s="287"/>
      <c r="L159" s="313"/>
      <c r="M159" s="75"/>
      <c r="N159" s="96"/>
      <c r="O159" s="96"/>
      <c r="P159" s="287"/>
      <c r="Q159" s="449"/>
      <c r="R159" s="449"/>
      <c r="S159" s="465" t="e">
        <f t="shared" si="49"/>
        <v>#DIV/0!</v>
      </c>
    </row>
    <row r="160" spans="1:19" s="1" customFormat="1" ht="13.5" hidden="1" thickBot="1">
      <c r="A160" s="46" t="s">
        <v>228</v>
      </c>
      <c r="B160" s="71" t="s">
        <v>202</v>
      </c>
      <c r="C160" s="76" t="s">
        <v>198</v>
      </c>
      <c r="D160" s="76" t="s">
        <v>262</v>
      </c>
      <c r="E160" s="77" t="s">
        <v>221</v>
      </c>
      <c r="F160" s="78" t="s">
        <v>209</v>
      </c>
      <c r="G160" s="96">
        <f>SUM(G161:G162)</f>
        <v>0</v>
      </c>
      <c r="H160" s="75">
        <f>SUM(H161:H162)</f>
        <v>0</v>
      </c>
      <c r="I160" s="75">
        <f>SUM(I161:I162)</f>
        <v>0</v>
      </c>
      <c r="J160" s="96">
        <f>SUM(J161:J162)</f>
        <v>0</v>
      </c>
      <c r="K160" s="287">
        <f>SUM(K161:K162)</f>
        <v>0</v>
      </c>
      <c r="L160" s="313"/>
      <c r="M160" s="75"/>
      <c r="N160" s="96"/>
      <c r="O160" s="96"/>
      <c r="P160" s="287"/>
      <c r="Q160" s="449"/>
      <c r="R160" s="449"/>
      <c r="S160" s="465" t="e">
        <f t="shared" si="49"/>
        <v>#DIV/0!</v>
      </c>
    </row>
    <row r="161" spans="1:19" s="1" customFormat="1" ht="13.5" hidden="1" thickBot="1">
      <c r="A161" s="46" t="s">
        <v>229</v>
      </c>
      <c r="B161" s="71" t="s">
        <v>202</v>
      </c>
      <c r="C161" s="76" t="s">
        <v>198</v>
      </c>
      <c r="D161" s="76" t="s">
        <v>262</v>
      </c>
      <c r="E161" s="77" t="s">
        <v>221</v>
      </c>
      <c r="F161" s="78" t="s">
        <v>209</v>
      </c>
      <c r="G161" s="96"/>
      <c r="H161" s="75"/>
      <c r="I161" s="75"/>
      <c r="J161" s="96"/>
      <c r="K161" s="287"/>
      <c r="L161" s="313"/>
      <c r="M161" s="75"/>
      <c r="N161" s="96"/>
      <c r="O161" s="96"/>
      <c r="P161" s="287"/>
      <c r="Q161" s="449"/>
      <c r="R161" s="449"/>
      <c r="S161" s="465" t="e">
        <f t="shared" si="49"/>
        <v>#DIV/0!</v>
      </c>
    </row>
    <row r="162" spans="1:19" s="1" customFormat="1" ht="9.75" customHeight="1" hidden="1">
      <c r="A162" s="108" t="s">
        <v>230</v>
      </c>
      <c r="B162" s="90" t="s">
        <v>202</v>
      </c>
      <c r="C162" s="91" t="s">
        <v>198</v>
      </c>
      <c r="D162" s="91" t="s">
        <v>262</v>
      </c>
      <c r="E162" s="92" t="s">
        <v>221</v>
      </c>
      <c r="F162" s="93" t="s">
        <v>209</v>
      </c>
      <c r="G162" s="96"/>
      <c r="H162" s="75"/>
      <c r="I162" s="75"/>
      <c r="J162" s="96"/>
      <c r="K162" s="287"/>
      <c r="L162" s="313"/>
      <c r="M162" s="75"/>
      <c r="N162" s="96"/>
      <c r="O162" s="96"/>
      <c r="P162" s="287"/>
      <c r="Q162" s="495"/>
      <c r="R162" s="495"/>
      <c r="S162" s="496" t="e">
        <f t="shared" si="49"/>
        <v>#DIV/0!</v>
      </c>
    </row>
    <row r="163" spans="1:19" s="1" customFormat="1" ht="25.5">
      <c r="A163" s="123" t="s">
        <v>266</v>
      </c>
      <c r="B163" s="66" t="s">
        <v>202</v>
      </c>
      <c r="C163" s="67" t="s">
        <v>198</v>
      </c>
      <c r="D163" s="67" t="s">
        <v>262</v>
      </c>
      <c r="E163" s="68" t="s">
        <v>267</v>
      </c>
      <c r="F163" s="69"/>
      <c r="G163" s="96">
        <f aca="true" t="shared" si="50" ref="G163:K164">G164</f>
        <v>563.6</v>
      </c>
      <c r="H163" s="75">
        <f t="shared" si="50"/>
        <v>563.6</v>
      </c>
      <c r="I163" s="75">
        <f t="shared" si="50"/>
        <v>563.6</v>
      </c>
      <c r="J163" s="96">
        <f t="shared" si="50"/>
        <v>40.5</v>
      </c>
      <c r="K163" s="287">
        <f aca="true" t="shared" si="51" ref="K163:Q163">K188+K191</f>
        <v>604.1</v>
      </c>
      <c r="L163" s="287">
        <f t="shared" si="51"/>
        <v>0</v>
      </c>
      <c r="M163" s="287">
        <f t="shared" si="51"/>
        <v>0</v>
      </c>
      <c r="N163" s="287">
        <f t="shared" si="51"/>
        <v>604.0999999999999</v>
      </c>
      <c r="O163" s="287">
        <f t="shared" si="51"/>
        <v>0</v>
      </c>
      <c r="P163" s="287">
        <f t="shared" si="51"/>
        <v>8.4</v>
      </c>
      <c r="Q163" s="471">
        <f t="shared" si="51"/>
        <v>612.4999999999999</v>
      </c>
      <c r="R163" s="472">
        <f>R188+R191</f>
        <v>600.43357</v>
      </c>
      <c r="S163" s="473">
        <f t="shared" si="49"/>
        <v>98.02997061224492</v>
      </c>
    </row>
    <row r="164" spans="1:19" s="1" customFormat="1" ht="12.75" hidden="1">
      <c r="A164" s="109" t="s">
        <v>220</v>
      </c>
      <c r="B164" s="99" t="s">
        <v>202</v>
      </c>
      <c r="C164" s="100" t="s">
        <v>198</v>
      </c>
      <c r="D164" s="100" t="s">
        <v>262</v>
      </c>
      <c r="E164" s="110" t="s">
        <v>267</v>
      </c>
      <c r="F164" s="101" t="s">
        <v>201</v>
      </c>
      <c r="G164" s="89">
        <f t="shared" si="50"/>
        <v>563.6</v>
      </c>
      <c r="H164" s="82">
        <f t="shared" si="50"/>
        <v>563.6</v>
      </c>
      <c r="I164" s="82">
        <f t="shared" si="50"/>
        <v>563.6</v>
      </c>
      <c r="J164" s="89">
        <f t="shared" si="50"/>
        <v>40.5</v>
      </c>
      <c r="K164" s="275">
        <f t="shared" si="50"/>
        <v>604.1</v>
      </c>
      <c r="L164" s="315"/>
      <c r="M164" s="82"/>
      <c r="N164" s="89"/>
      <c r="O164" s="89"/>
      <c r="P164" s="275"/>
      <c r="Q164" s="487"/>
      <c r="R164" s="448"/>
      <c r="S164" s="465" t="e">
        <f t="shared" si="49"/>
        <v>#DIV/0!</v>
      </c>
    </row>
    <row r="165" spans="1:19" s="1" customFormat="1" ht="15" customHeight="1" hidden="1">
      <c r="A165" s="46" t="s">
        <v>208</v>
      </c>
      <c r="B165" s="141" t="s">
        <v>202</v>
      </c>
      <c r="C165" s="76" t="s">
        <v>198</v>
      </c>
      <c r="D165" s="76" t="s">
        <v>262</v>
      </c>
      <c r="E165" s="77" t="s">
        <v>267</v>
      </c>
      <c r="F165" s="78" t="s">
        <v>201</v>
      </c>
      <c r="G165" s="89">
        <f>G188+G191</f>
        <v>563.6</v>
      </c>
      <c r="H165" s="82">
        <f>H188+H191</f>
        <v>563.6</v>
      </c>
      <c r="I165" s="82">
        <f>I188+I191</f>
        <v>563.6</v>
      </c>
      <c r="J165" s="89">
        <f>J188+J191</f>
        <v>40.5</v>
      </c>
      <c r="K165" s="275">
        <f>K188+K191</f>
        <v>604.1</v>
      </c>
      <c r="L165" s="315"/>
      <c r="M165" s="82"/>
      <c r="N165" s="89"/>
      <c r="O165" s="89"/>
      <c r="P165" s="275"/>
      <c r="Q165" s="487"/>
      <c r="R165" s="448"/>
      <c r="S165" s="465" t="e">
        <f t="shared" si="49"/>
        <v>#DIV/0!</v>
      </c>
    </row>
    <row r="166" spans="1:19" s="1" customFormat="1" ht="0.75" customHeight="1" hidden="1">
      <c r="A166" s="46" t="s">
        <v>210</v>
      </c>
      <c r="B166" s="141" t="s">
        <v>202</v>
      </c>
      <c r="C166" s="76" t="s">
        <v>198</v>
      </c>
      <c r="D166" s="76" t="s">
        <v>262</v>
      </c>
      <c r="E166" s="77" t="s">
        <v>267</v>
      </c>
      <c r="F166" s="78" t="s">
        <v>209</v>
      </c>
      <c r="G166" s="96">
        <f>G167+G180</f>
        <v>0</v>
      </c>
      <c r="H166" s="75">
        <f>H167+H180</f>
        <v>0</v>
      </c>
      <c r="I166" s="75">
        <f>I167+I180</f>
        <v>0</v>
      </c>
      <c r="J166" s="96">
        <f>J167+J180</f>
        <v>0</v>
      </c>
      <c r="K166" s="287">
        <f>K167+K180</f>
        <v>0</v>
      </c>
      <c r="L166" s="313"/>
      <c r="M166" s="75"/>
      <c r="N166" s="96"/>
      <c r="O166" s="96"/>
      <c r="P166" s="287"/>
      <c r="Q166" s="474"/>
      <c r="R166" s="449"/>
      <c r="S166" s="465" t="e">
        <f t="shared" si="49"/>
        <v>#DIV/0!</v>
      </c>
    </row>
    <row r="167" spans="1:19" s="1" customFormat="1" ht="12.75" hidden="1">
      <c r="A167" s="46" t="s">
        <v>222</v>
      </c>
      <c r="B167" s="141" t="s">
        <v>202</v>
      </c>
      <c r="C167" s="76" t="s">
        <v>198</v>
      </c>
      <c r="D167" s="76" t="s">
        <v>262</v>
      </c>
      <c r="E167" s="77" t="s">
        <v>267</v>
      </c>
      <c r="F167" s="78" t="s">
        <v>209</v>
      </c>
      <c r="G167" s="96">
        <f>SUM(G168:G171)</f>
        <v>0</v>
      </c>
      <c r="H167" s="75">
        <f>SUM(H168:H171)</f>
        <v>0</v>
      </c>
      <c r="I167" s="75">
        <f>SUM(I168:I171)</f>
        <v>0</v>
      </c>
      <c r="J167" s="96">
        <f>SUM(J168:J171)</f>
        <v>0</v>
      </c>
      <c r="K167" s="287">
        <f>SUM(K168:K171)</f>
        <v>0</v>
      </c>
      <c r="L167" s="313"/>
      <c r="M167" s="75"/>
      <c r="N167" s="96"/>
      <c r="O167" s="96"/>
      <c r="P167" s="287"/>
      <c r="Q167" s="474"/>
      <c r="R167" s="449"/>
      <c r="S167" s="465" t="e">
        <f t="shared" si="49"/>
        <v>#DIV/0!</v>
      </c>
    </row>
    <row r="168" spans="1:19" s="1" customFormat="1" ht="12.75" hidden="1">
      <c r="A168" s="46" t="s">
        <v>212</v>
      </c>
      <c r="B168" s="141" t="s">
        <v>202</v>
      </c>
      <c r="C168" s="76" t="s">
        <v>198</v>
      </c>
      <c r="D168" s="76" t="s">
        <v>262</v>
      </c>
      <c r="E168" s="77" t="s">
        <v>267</v>
      </c>
      <c r="F168" s="78" t="s">
        <v>209</v>
      </c>
      <c r="G168" s="96"/>
      <c r="H168" s="75"/>
      <c r="I168" s="75"/>
      <c r="J168" s="96"/>
      <c r="K168" s="287"/>
      <c r="L168" s="313"/>
      <c r="M168" s="75"/>
      <c r="N168" s="96"/>
      <c r="O168" s="96"/>
      <c r="P168" s="287"/>
      <c r="Q168" s="474"/>
      <c r="R168" s="449"/>
      <c r="S168" s="465" t="e">
        <f t="shared" si="49"/>
        <v>#DIV/0!</v>
      </c>
    </row>
    <row r="169" spans="1:19" s="1" customFormat="1" ht="12.75" hidden="1">
      <c r="A169" s="46" t="s">
        <v>213</v>
      </c>
      <c r="B169" s="141" t="s">
        <v>202</v>
      </c>
      <c r="C169" s="76" t="s">
        <v>198</v>
      </c>
      <c r="D169" s="76" t="s">
        <v>262</v>
      </c>
      <c r="E169" s="77" t="s">
        <v>267</v>
      </c>
      <c r="F169" s="78" t="s">
        <v>209</v>
      </c>
      <c r="G169" s="96"/>
      <c r="H169" s="75"/>
      <c r="I169" s="75"/>
      <c r="J169" s="96"/>
      <c r="K169" s="287"/>
      <c r="L169" s="313"/>
      <c r="M169" s="75"/>
      <c r="N169" s="96"/>
      <c r="O169" s="96"/>
      <c r="P169" s="287"/>
      <c r="Q169" s="474"/>
      <c r="R169" s="449"/>
      <c r="S169" s="465" t="e">
        <f t="shared" si="49"/>
        <v>#DIV/0!</v>
      </c>
    </row>
    <row r="170" spans="1:19" s="1" customFormat="1" ht="12.75" hidden="1">
      <c r="A170" s="46" t="s">
        <v>213</v>
      </c>
      <c r="B170" s="141" t="s">
        <v>202</v>
      </c>
      <c r="C170" s="76" t="s">
        <v>198</v>
      </c>
      <c r="D170" s="76" t="s">
        <v>262</v>
      </c>
      <c r="E170" s="77" t="s">
        <v>267</v>
      </c>
      <c r="F170" s="78" t="s">
        <v>209</v>
      </c>
      <c r="G170" s="96"/>
      <c r="H170" s="75"/>
      <c r="I170" s="75"/>
      <c r="J170" s="96"/>
      <c r="K170" s="287"/>
      <c r="L170" s="313"/>
      <c r="M170" s="75"/>
      <c r="N170" s="96"/>
      <c r="O170" s="96"/>
      <c r="P170" s="287"/>
      <c r="Q170" s="474"/>
      <c r="R170" s="449"/>
      <c r="S170" s="465" t="e">
        <f t="shared" si="49"/>
        <v>#DIV/0!</v>
      </c>
    </row>
    <row r="171" spans="1:19" s="1" customFormat="1" ht="12.75" hidden="1">
      <c r="A171" s="46" t="s">
        <v>214</v>
      </c>
      <c r="B171" s="141" t="s">
        <v>202</v>
      </c>
      <c r="C171" s="76" t="s">
        <v>198</v>
      </c>
      <c r="D171" s="76" t="s">
        <v>262</v>
      </c>
      <c r="E171" s="77" t="s">
        <v>267</v>
      </c>
      <c r="F171" s="78" t="s">
        <v>209</v>
      </c>
      <c r="G171" s="96"/>
      <c r="H171" s="75"/>
      <c r="I171" s="75"/>
      <c r="J171" s="96"/>
      <c r="K171" s="287"/>
      <c r="L171" s="313"/>
      <c r="M171" s="75"/>
      <c r="N171" s="96"/>
      <c r="O171" s="96"/>
      <c r="P171" s="287"/>
      <c r="Q171" s="474"/>
      <c r="R171" s="449"/>
      <c r="S171" s="465" t="e">
        <f t="shared" si="49"/>
        <v>#DIV/0!</v>
      </c>
    </row>
    <row r="172" spans="1:19" s="1" customFormat="1" ht="12.75" hidden="1">
      <c r="A172" s="46" t="s">
        <v>222</v>
      </c>
      <c r="B172" s="141" t="s">
        <v>202</v>
      </c>
      <c r="C172" s="76" t="s">
        <v>198</v>
      </c>
      <c r="D172" s="76" t="s">
        <v>262</v>
      </c>
      <c r="E172" s="77" t="s">
        <v>267</v>
      </c>
      <c r="F172" s="78" t="s">
        <v>209</v>
      </c>
      <c r="G172" s="96"/>
      <c r="H172" s="75"/>
      <c r="I172" s="75"/>
      <c r="J172" s="96"/>
      <c r="K172" s="287"/>
      <c r="L172" s="313"/>
      <c r="M172" s="75"/>
      <c r="N172" s="96"/>
      <c r="O172" s="96"/>
      <c r="P172" s="287"/>
      <c r="Q172" s="474"/>
      <c r="R172" s="449"/>
      <c r="S172" s="465" t="e">
        <f t="shared" si="49"/>
        <v>#DIV/0!</v>
      </c>
    </row>
    <row r="173" spans="1:19" s="1" customFormat="1" ht="12.75" hidden="1">
      <c r="A173" s="46" t="s">
        <v>223</v>
      </c>
      <c r="B173" s="141" t="s">
        <v>202</v>
      </c>
      <c r="C173" s="76" t="s">
        <v>198</v>
      </c>
      <c r="D173" s="76" t="s">
        <v>262</v>
      </c>
      <c r="E173" s="77" t="s">
        <v>267</v>
      </c>
      <c r="F173" s="78" t="s">
        <v>209</v>
      </c>
      <c r="G173" s="96"/>
      <c r="H173" s="75"/>
      <c r="I173" s="75"/>
      <c r="J173" s="96"/>
      <c r="K173" s="287"/>
      <c r="L173" s="313"/>
      <c r="M173" s="75"/>
      <c r="N173" s="96"/>
      <c r="O173" s="96"/>
      <c r="P173" s="287"/>
      <c r="Q173" s="474"/>
      <c r="R173" s="449"/>
      <c r="S173" s="465" t="e">
        <f t="shared" si="49"/>
        <v>#DIV/0!</v>
      </c>
    </row>
    <row r="174" spans="1:19" s="1" customFormat="1" ht="12.75" hidden="1">
      <c r="A174" s="46" t="s">
        <v>224</v>
      </c>
      <c r="B174" s="141" t="s">
        <v>202</v>
      </c>
      <c r="C174" s="76" t="s">
        <v>198</v>
      </c>
      <c r="D174" s="76" t="s">
        <v>262</v>
      </c>
      <c r="E174" s="77" t="s">
        <v>267</v>
      </c>
      <c r="F174" s="78" t="s">
        <v>209</v>
      </c>
      <c r="G174" s="96"/>
      <c r="H174" s="75"/>
      <c r="I174" s="75"/>
      <c r="J174" s="96"/>
      <c r="K174" s="287"/>
      <c r="L174" s="313"/>
      <c r="M174" s="75"/>
      <c r="N174" s="96"/>
      <c r="O174" s="96"/>
      <c r="P174" s="287"/>
      <c r="Q174" s="474"/>
      <c r="R174" s="449"/>
      <c r="S174" s="465" t="e">
        <f t="shared" si="49"/>
        <v>#DIV/0!</v>
      </c>
    </row>
    <row r="175" spans="1:19" s="1" customFormat="1" ht="12.75" hidden="1">
      <c r="A175" s="46" t="s">
        <v>242</v>
      </c>
      <c r="B175" s="141" t="s">
        <v>202</v>
      </c>
      <c r="C175" s="76" t="s">
        <v>198</v>
      </c>
      <c r="D175" s="76" t="s">
        <v>262</v>
      </c>
      <c r="E175" s="77" t="s">
        <v>267</v>
      </c>
      <c r="F175" s="78" t="s">
        <v>209</v>
      </c>
      <c r="G175" s="96"/>
      <c r="H175" s="75"/>
      <c r="I175" s="75"/>
      <c r="J175" s="96"/>
      <c r="K175" s="287"/>
      <c r="L175" s="313"/>
      <c r="M175" s="75"/>
      <c r="N175" s="96"/>
      <c r="O175" s="96"/>
      <c r="P175" s="287"/>
      <c r="Q175" s="474"/>
      <c r="R175" s="449"/>
      <c r="S175" s="465" t="e">
        <f t="shared" si="49"/>
        <v>#DIV/0!</v>
      </c>
    </row>
    <row r="176" spans="1:19" s="1" customFormat="1" ht="12.75" hidden="1">
      <c r="A176" s="46" t="s">
        <v>243</v>
      </c>
      <c r="B176" s="141" t="s">
        <v>202</v>
      </c>
      <c r="C176" s="76" t="s">
        <v>198</v>
      </c>
      <c r="D176" s="76" t="s">
        <v>262</v>
      </c>
      <c r="E176" s="77" t="s">
        <v>267</v>
      </c>
      <c r="F176" s="78" t="s">
        <v>209</v>
      </c>
      <c r="G176" s="96"/>
      <c r="H176" s="75"/>
      <c r="I176" s="75"/>
      <c r="J176" s="96"/>
      <c r="K176" s="287"/>
      <c r="L176" s="313"/>
      <c r="M176" s="75"/>
      <c r="N176" s="96"/>
      <c r="O176" s="96"/>
      <c r="P176" s="287"/>
      <c r="Q176" s="474"/>
      <c r="R176" s="449"/>
      <c r="S176" s="465" t="e">
        <f t="shared" si="49"/>
        <v>#DIV/0!</v>
      </c>
    </row>
    <row r="177" spans="1:19" s="1" customFormat="1" ht="12.75" hidden="1">
      <c r="A177" s="46" t="s">
        <v>225</v>
      </c>
      <c r="B177" s="141" t="s">
        <v>202</v>
      </c>
      <c r="C177" s="76" t="s">
        <v>198</v>
      </c>
      <c r="D177" s="76" t="s">
        <v>262</v>
      </c>
      <c r="E177" s="77" t="s">
        <v>267</v>
      </c>
      <c r="F177" s="78" t="s">
        <v>209</v>
      </c>
      <c r="G177" s="96"/>
      <c r="H177" s="75"/>
      <c r="I177" s="75"/>
      <c r="J177" s="96"/>
      <c r="K177" s="287"/>
      <c r="L177" s="313"/>
      <c r="M177" s="75"/>
      <c r="N177" s="96"/>
      <c r="O177" s="96"/>
      <c r="P177" s="287"/>
      <c r="Q177" s="474"/>
      <c r="R177" s="449"/>
      <c r="S177" s="465" t="e">
        <f t="shared" si="49"/>
        <v>#DIV/0!</v>
      </c>
    </row>
    <row r="178" spans="1:19" s="1" customFormat="1" ht="12.75" hidden="1">
      <c r="A178" s="46" t="s">
        <v>226</v>
      </c>
      <c r="B178" s="141" t="s">
        <v>202</v>
      </c>
      <c r="C178" s="76" t="s">
        <v>198</v>
      </c>
      <c r="D178" s="76" t="s">
        <v>262</v>
      </c>
      <c r="E178" s="77" t="s">
        <v>267</v>
      </c>
      <c r="F178" s="78" t="s">
        <v>209</v>
      </c>
      <c r="G178" s="96"/>
      <c r="H178" s="75"/>
      <c r="I178" s="75"/>
      <c r="J178" s="96"/>
      <c r="K178" s="287"/>
      <c r="L178" s="313"/>
      <c r="M178" s="75"/>
      <c r="N178" s="96"/>
      <c r="O178" s="96"/>
      <c r="P178" s="287"/>
      <c r="Q178" s="474"/>
      <c r="R178" s="449"/>
      <c r="S178" s="465" t="e">
        <f t="shared" si="49"/>
        <v>#DIV/0!</v>
      </c>
    </row>
    <row r="179" spans="1:19" s="1" customFormat="1" ht="12.75" hidden="1">
      <c r="A179" s="46" t="s">
        <v>227</v>
      </c>
      <c r="B179" s="141" t="s">
        <v>202</v>
      </c>
      <c r="C179" s="76" t="s">
        <v>198</v>
      </c>
      <c r="D179" s="76" t="s">
        <v>262</v>
      </c>
      <c r="E179" s="77" t="s">
        <v>267</v>
      </c>
      <c r="F179" s="78" t="s">
        <v>209</v>
      </c>
      <c r="G179" s="96"/>
      <c r="H179" s="75"/>
      <c r="I179" s="75"/>
      <c r="J179" s="96"/>
      <c r="K179" s="287"/>
      <c r="L179" s="313"/>
      <c r="M179" s="75"/>
      <c r="N179" s="96"/>
      <c r="O179" s="96"/>
      <c r="P179" s="287"/>
      <c r="Q179" s="474"/>
      <c r="R179" s="449"/>
      <c r="S179" s="465" t="e">
        <f t="shared" si="49"/>
        <v>#DIV/0!</v>
      </c>
    </row>
    <row r="180" spans="1:19" s="1" customFormat="1" ht="12.75" hidden="1">
      <c r="A180" s="46" t="s">
        <v>222</v>
      </c>
      <c r="B180" s="141" t="s">
        <v>202</v>
      </c>
      <c r="C180" s="76" t="s">
        <v>198</v>
      </c>
      <c r="D180" s="76" t="s">
        <v>262</v>
      </c>
      <c r="E180" s="77" t="s">
        <v>267</v>
      </c>
      <c r="F180" s="78" t="s">
        <v>209</v>
      </c>
      <c r="G180" s="96"/>
      <c r="H180" s="75"/>
      <c r="I180" s="75"/>
      <c r="J180" s="96"/>
      <c r="K180" s="287"/>
      <c r="L180" s="313"/>
      <c r="M180" s="75"/>
      <c r="N180" s="96"/>
      <c r="O180" s="96"/>
      <c r="P180" s="287"/>
      <c r="Q180" s="474"/>
      <c r="R180" s="449"/>
      <c r="S180" s="465" t="e">
        <f t="shared" si="49"/>
        <v>#DIV/0!</v>
      </c>
    </row>
    <row r="181" spans="1:19" s="1" customFormat="1" ht="12.75" hidden="1">
      <c r="A181" s="46" t="s">
        <v>223</v>
      </c>
      <c r="B181" s="141" t="s">
        <v>202</v>
      </c>
      <c r="C181" s="76" t="s">
        <v>198</v>
      </c>
      <c r="D181" s="76" t="s">
        <v>262</v>
      </c>
      <c r="E181" s="77" t="s">
        <v>267</v>
      </c>
      <c r="F181" s="78" t="s">
        <v>209</v>
      </c>
      <c r="G181" s="96"/>
      <c r="H181" s="75"/>
      <c r="I181" s="75"/>
      <c r="J181" s="96"/>
      <c r="K181" s="287"/>
      <c r="L181" s="313"/>
      <c r="M181" s="75"/>
      <c r="N181" s="96"/>
      <c r="O181" s="96"/>
      <c r="P181" s="287"/>
      <c r="Q181" s="474"/>
      <c r="R181" s="449"/>
      <c r="S181" s="465" t="e">
        <f t="shared" si="49"/>
        <v>#DIV/0!</v>
      </c>
    </row>
    <row r="182" spans="1:19" s="1" customFormat="1" ht="12.75" hidden="1">
      <c r="A182" s="46" t="s">
        <v>224</v>
      </c>
      <c r="B182" s="141" t="s">
        <v>202</v>
      </c>
      <c r="C182" s="76" t="s">
        <v>198</v>
      </c>
      <c r="D182" s="76" t="s">
        <v>262</v>
      </c>
      <c r="E182" s="77" t="s">
        <v>267</v>
      </c>
      <c r="F182" s="78" t="s">
        <v>209</v>
      </c>
      <c r="G182" s="96"/>
      <c r="H182" s="75"/>
      <c r="I182" s="75"/>
      <c r="J182" s="96"/>
      <c r="K182" s="287"/>
      <c r="L182" s="313"/>
      <c r="M182" s="75"/>
      <c r="N182" s="96"/>
      <c r="O182" s="96"/>
      <c r="P182" s="287"/>
      <c r="Q182" s="474"/>
      <c r="R182" s="449"/>
      <c r="S182" s="465" t="e">
        <f t="shared" si="49"/>
        <v>#DIV/0!</v>
      </c>
    </row>
    <row r="183" spans="1:19" s="1" customFormat="1" ht="12.75" hidden="1">
      <c r="A183" s="46" t="s">
        <v>242</v>
      </c>
      <c r="B183" s="141" t="s">
        <v>202</v>
      </c>
      <c r="C183" s="76" t="s">
        <v>198</v>
      </c>
      <c r="D183" s="76" t="s">
        <v>262</v>
      </c>
      <c r="E183" s="77" t="s">
        <v>267</v>
      </c>
      <c r="F183" s="78" t="s">
        <v>209</v>
      </c>
      <c r="G183" s="96"/>
      <c r="H183" s="75"/>
      <c r="I183" s="75"/>
      <c r="J183" s="96"/>
      <c r="K183" s="287"/>
      <c r="L183" s="313"/>
      <c r="M183" s="75"/>
      <c r="N183" s="96"/>
      <c r="O183" s="96"/>
      <c r="P183" s="287"/>
      <c r="Q183" s="474"/>
      <c r="R183" s="449"/>
      <c r="S183" s="465" t="e">
        <f t="shared" si="49"/>
        <v>#DIV/0!</v>
      </c>
    </row>
    <row r="184" spans="1:19" ht="12.75" hidden="1">
      <c r="A184" s="46" t="s">
        <v>226</v>
      </c>
      <c r="B184" s="141" t="s">
        <v>202</v>
      </c>
      <c r="C184" s="76" t="s">
        <v>198</v>
      </c>
      <c r="D184" s="76" t="s">
        <v>262</v>
      </c>
      <c r="E184" s="77" t="s">
        <v>267</v>
      </c>
      <c r="F184" s="78" t="s">
        <v>209</v>
      </c>
      <c r="G184" s="96"/>
      <c r="H184" s="75"/>
      <c r="I184" s="75"/>
      <c r="J184" s="96"/>
      <c r="K184" s="287"/>
      <c r="L184" s="313"/>
      <c r="M184" s="75"/>
      <c r="N184" s="96"/>
      <c r="O184" s="96"/>
      <c r="P184" s="287"/>
      <c r="Q184" s="474"/>
      <c r="R184" s="449"/>
      <c r="S184" s="465" t="e">
        <f t="shared" si="49"/>
        <v>#DIV/0!</v>
      </c>
    </row>
    <row r="185" spans="1:19" s="1" customFormat="1" ht="12.75" hidden="1">
      <c r="A185" s="46" t="s">
        <v>228</v>
      </c>
      <c r="B185" s="141" t="s">
        <v>202</v>
      </c>
      <c r="C185" s="76" t="s">
        <v>198</v>
      </c>
      <c r="D185" s="76" t="s">
        <v>262</v>
      </c>
      <c r="E185" s="77" t="s">
        <v>267</v>
      </c>
      <c r="F185" s="78" t="s">
        <v>209</v>
      </c>
      <c r="G185" s="96">
        <f>SUM(G186:G187)</f>
        <v>0</v>
      </c>
      <c r="H185" s="75">
        <f>SUM(H186:H187)</f>
        <v>0</v>
      </c>
      <c r="I185" s="75">
        <f>SUM(I186:I187)</f>
        <v>0</v>
      </c>
      <c r="J185" s="96">
        <f>SUM(J186:J187)</f>
        <v>0</v>
      </c>
      <c r="K185" s="287">
        <f>SUM(K186:K187)</f>
        <v>0</v>
      </c>
      <c r="L185" s="313"/>
      <c r="M185" s="75"/>
      <c r="N185" s="96"/>
      <c r="O185" s="96"/>
      <c r="P185" s="287"/>
      <c r="Q185" s="474"/>
      <c r="R185" s="449"/>
      <c r="S185" s="465" t="e">
        <f t="shared" si="49"/>
        <v>#DIV/0!</v>
      </c>
    </row>
    <row r="186" spans="1:19" s="1" customFormat="1" ht="14.25" customHeight="1" hidden="1">
      <c r="A186" s="46" t="s">
        <v>229</v>
      </c>
      <c r="B186" s="141" t="s">
        <v>202</v>
      </c>
      <c r="C186" s="76" t="s">
        <v>198</v>
      </c>
      <c r="D186" s="76" t="s">
        <v>262</v>
      </c>
      <c r="E186" s="77" t="s">
        <v>267</v>
      </c>
      <c r="F186" s="78" t="s">
        <v>209</v>
      </c>
      <c r="G186" s="96"/>
      <c r="H186" s="75"/>
      <c r="I186" s="75"/>
      <c r="J186" s="96"/>
      <c r="K186" s="287"/>
      <c r="L186" s="313"/>
      <c r="M186" s="75"/>
      <c r="N186" s="96"/>
      <c r="O186" s="96"/>
      <c r="P186" s="287"/>
      <c r="Q186" s="474"/>
      <c r="R186" s="449"/>
      <c r="S186" s="465" t="e">
        <f t="shared" si="49"/>
        <v>#DIV/0!</v>
      </c>
    </row>
    <row r="187" spans="1:19" s="1" customFormat="1" ht="12.75" hidden="1">
      <c r="A187" s="108" t="s">
        <v>230</v>
      </c>
      <c r="B187" s="141" t="s">
        <v>202</v>
      </c>
      <c r="C187" s="76" t="s">
        <v>198</v>
      </c>
      <c r="D187" s="76" t="s">
        <v>262</v>
      </c>
      <c r="E187" s="77" t="s">
        <v>267</v>
      </c>
      <c r="F187" s="93" t="s">
        <v>209</v>
      </c>
      <c r="G187" s="96"/>
      <c r="H187" s="75"/>
      <c r="I187" s="75"/>
      <c r="J187" s="96"/>
      <c r="K187" s="287"/>
      <c r="L187" s="313"/>
      <c r="M187" s="75"/>
      <c r="N187" s="96"/>
      <c r="O187" s="96"/>
      <c r="P187" s="287"/>
      <c r="Q187" s="474"/>
      <c r="R187" s="449"/>
      <c r="S187" s="465" t="e">
        <f t="shared" si="49"/>
        <v>#DIV/0!</v>
      </c>
    </row>
    <row r="188" spans="1:19" s="1" customFormat="1" ht="15.75" customHeight="1">
      <c r="A188" s="193" t="s">
        <v>108</v>
      </c>
      <c r="B188" s="141" t="s">
        <v>202</v>
      </c>
      <c r="C188" s="76" t="s">
        <v>198</v>
      </c>
      <c r="D188" s="76" t="s">
        <v>262</v>
      </c>
      <c r="E188" s="77" t="s">
        <v>267</v>
      </c>
      <c r="F188" s="101" t="s">
        <v>105</v>
      </c>
      <c r="G188" s="89">
        <f>G189+G190</f>
        <v>489.4</v>
      </c>
      <c r="H188" s="82">
        <f>H189+H190</f>
        <v>489.4</v>
      </c>
      <c r="I188" s="82">
        <f>I189+I190</f>
        <v>489.4</v>
      </c>
      <c r="J188" s="89">
        <v>40.5</v>
      </c>
      <c r="K188" s="275">
        <v>529.9</v>
      </c>
      <c r="L188" s="275">
        <v>-4.1</v>
      </c>
      <c r="M188" s="275"/>
      <c r="N188" s="275">
        <f>K188+L188+M188</f>
        <v>525.8</v>
      </c>
      <c r="O188" s="275"/>
      <c r="P188" s="275">
        <v>6.8</v>
      </c>
      <c r="Q188" s="487">
        <f aca="true" t="shared" si="52" ref="Q188:R191">N188+O188+P188</f>
        <v>532.5999999999999</v>
      </c>
      <c r="R188" s="448">
        <v>520.5358</v>
      </c>
      <c r="S188" s="444">
        <f t="shared" si="49"/>
        <v>97.73484791588436</v>
      </c>
    </row>
    <row r="189" spans="1:19" s="1" customFormat="1" ht="2.25" customHeight="1" hidden="1">
      <c r="A189" s="29"/>
      <c r="B189" s="161"/>
      <c r="C189" s="100"/>
      <c r="D189" s="100"/>
      <c r="E189" s="110"/>
      <c r="F189" s="81" t="s">
        <v>215</v>
      </c>
      <c r="G189" s="102">
        <v>375.9</v>
      </c>
      <c r="H189" s="137">
        <v>375.9</v>
      </c>
      <c r="I189" s="137">
        <v>375.9</v>
      </c>
      <c r="J189" s="102">
        <v>375.9</v>
      </c>
      <c r="K189" s="275">
        <f>G189+J189</f>
        <v>751.8</v>
      </c>
      <c r="L189" s="315"/>
      <c r="M189" s="82"/>
      <c r="N189" s="275">
        <f>K189+L189+M189</f>
        <v>751.8</v>
      </c>
      <c r="O189" s="275">
        <f>L189+M189+N189</f>
        <v>751.8</v>
      </c>
      <c r="P189" s="275">
        <f>M189+N189+O189</f>
        <v>1503.6</v>
      </c>
      <c r="Q189" s="487">
        <f t="shared" si="52"/>
        <v>3007.2</v>
      </c>
      <c r="R189" s="448">
        <f t="shared" si="52"/>
        <v>5262.599999999999</v>
      </c>
      <c r="S189" s="444">
        <f t="shared" si="49"/>
        <v>175</v>
      </c>
    </row>
    <row r="190" spans="1:19" s="1" customFormat="1" ht="17.25" customHeight="1" hidden="1">
      <c r="A190" s="46"/>
      <c r="B190" s="141"/>
      <c r="C190" s="76"/>
      <c r="D190" s="76"/>
      <c r="E190" s="77"/>
      <c r="F190" s="78" t="s">
        <v>217</v>
      </c>
      <c r="G190" s="89">
        <v>113.5</v>
      </c>
      <c r="H190" s="82">
        <v>113.5</v>
      </c>
      <c r="I190" s="82">
        <v>113.5</v>
      </c>
      <c r="J190" s="89">
        <v>113.5</v>
      </c>
      <c r="K190" s="275">
        <f>G190+J190</f>
        <v>227</v>
      </c>
      <c r="L190" s="315"/>
      <c r="M190" s="82"/>
      <c r="N190" s="275">
        <f>K190+L190+M190</f>
        <v>227</v>
      </c>
      <c r="O190" s="275">
        <f>L190+M190+N190</f>
        <v>227</v>
      </c>
      <c r="P190" s="275">
        <f>M190+N190+O190</f>
        <v>454</v>
      </c>
      <c r="Q190" s="487">
        <f t="shared" si="52"/>
        <v>908</v>
      </c>
      <c r="R190" s="448">
        <f t="shared" si="52"/>
        <v>1589</v>
      </c>
      <c r="S190" s="444">
        <f t="shared" si="49"/>
        <v>175</v>
      </c>
    </row>
    <row r="191" spans="1:19" s="1" customFormat="1" ht="15.75" customHeight="1" thickBot="1">
      <c r="A191" s="192" t="s">
        <v>109</v>
      </c>
      <c r="B191" s="141" t="s">
        <v>202</v>
      </c>
      <c r="C191" s="76" t="s">
        <v>198</v>
      </c>
      <c r="D191" s="76" t="s">
        <v>262</v>
      </c>
      <c r="E191" s="77" t="s">
        <v>267</v>
      </c>
      <c r="F191" s="81" t="s">
        <v>106</v>
      </c>
      <c r="G191" s="89">
        <v>74.2</v>
      </c>
      <c r="H191" s="82">
        <v>74.2</v>
      </c>
      <c r="I191" s="82">
        <v>74.2</v>
      </c>
      <c r="J191" s="89"/>
      <c r="K191" s="275">
        <v>74.2</v>
      </c>
      <c r="L191" s="315">
        <v>4.1</v>
      </c>
      <c r="M191" s="82"/>
      <c r="N191" s="275">
        <f>K191+L191+M191</f>
        <v>78.3</v>
      </c>
      <c r="O191" s="275"/>
      <c r="P191" s="275">
        <v>1.6</v>
      </c>
      <c r="Q191" s="488">
        <f t="shared" si="52"/>
        <v>79.89999999999999</v>
      </c>
      <c r="R191" s="489">
        <v>79.89777</v>
      </c>
      <c r="S191" s="477">
        <f t="shared" si="49"/>
        <v>99.99720901126409</v>
      </c>
    </row>
    <row r="192" spans="1:19" s="1" customFormat="1" ht="18" customHeight="1" hidden="1" thickBot="1">
      <c r="A192" s="29"/>
      <c r="B192" s="30"/>
      <c r="C192" s="79"/>
      <c r="D192" s="79"/>
      <c r="E192" s="80"/>
      <c r="F192" s="81" t="s">
        <v>233</v>
      </c>
      <c r="G192" s="89"/>
      <c r="H192" s="82"/>
      <c r="I192" s="82"/>
      <c r="J192" s="89"/>
      <c r="K192" s="275"/>
      <c r="L192" s="315"/>
      <c r="M192" s="82"/>
      <c r="N192" s="89"/>
      <c r="O192" s="89"/>
      <c r="P192" s="275"/>
      <c r="Q192" s="485"/>
      <c r="R192" s="485"/>
      <c r="S192" s="470" t="e">
        <f t="shared" si="49"/>
        <v>#DIV/0!</v>
      </c>
    </row>
    <row r="193" spans="1:19" s="1" customFormat="1" ht="18" customHeight="1" hidden="1" thickBot="1">
      <c r="A193" s="46"/>
      <c r="B193" s="71"/>
      <c r="C193" s="76"/>
      <c r="D193" s="76"/>
      <c r="E193" s="77"/>
      <c r="F193" s="78" t="s">
        <v>234</v>
      </c>
      <c r="G193" s="89"/>
      <c r="H193" s="82"/>
      <c r="I193" s="82"/>
      <c r="J193" s="89"/>
      <c r="K193" s="275"/>
      <c r="L193" s="315"/>
      <c r="M193" s="82"/>
      <c r="N193" s="89"/>
      <c r="O193" s="89"/>
      <c r="P193" s="275"/>
      <c r="Q193" s="448"/>
      <c r="R193" s="448"/>
      <c r="S193" s="459" t="e">
        <f t="shared" si="49"/>
        <v>#DIV/0!</v>
      </c>
    </row>
    <row r="194" spans="1:19" s="1" customFormat="1" ht="18" customHeight="1" hidden="1" thickBot="1">
      <c r="A194" s="29"/>
      <c r="B194" s="30"/>
      <c r="C194" s="79"/>
      <c r="D194" s="79"/>
      <c r="E194" s="80"/>
      <c r="F194" s="81" t="s">
        <v>244</v>
      </c>
      <c r="G194" s="89"/>
      <c r="H194" s="82"/>
      <c r="I194" s="82"/>
      <c r="J194" s="89"/>
      <c r="K194" s="275"/>
      <c r="L194" s="315"/>
      <c r="M194" s="82"/>
      <c r="N194" s="89"/>
      <c r="O194" s="89"/>
      <c r="P194" s="275"/>
      <c r="Q194" s="448"/>
      <c r="R194" s="448"/>
      <c r="S194" s="459" t="e">
        <f t="shared" si="49"/>
        <v>#DIV/0!</v>
      </c>
    </row>
    <row r="195" spans="1:19" s="1" customFormat="1" ht="18" customHeight="1" hidden="1" thickBot="1">
      <c r="A195" s="46"/>
      <c r="B195" s="71"/>
      <c r="C195" s="76"/>
      <c r="D195" s="76"/>
      <c r="E195" s="77"/>
      <c r="F195" s="78" t="s">
        <v>236</v>
      </c>
      <c r="G195" s="89"/>
      <c r="H195" s="82"/>
      <c r="I195" s="82"/>
      <c r="J195" s="89"/>
      <c r="K195" s="275"/>
      <c r="L195" s="315"/>
      <c r="M195" s="82"/>
      <c r="N195" s="89"/>
      <c r="O195" s="89"/>
      <c r="P195" s="275"/>
      <c r="Q195" s="448"/>
      <c r="R195" s="448"/>
      <c r="S195" s="459" t="e">
        <f t="shared" si="49"/>
        <v>#DIV/0!</v>
      </c>
    </row>
    <row r="196" spans="1:19" s="1" customFormat="1" ht="18" customHeight="1" hidden="1" thickBot="1">
      <c r="A196" s="46"/>
      <c r="B196" s="71"/>
      <c r="C196" s="76"/>
      <c r="D196" s="76"/>
      <c r="E196" s="77"/>
      <c r="F196" s="78" t="s">
        <v>238</v>
      </c>
      <c r="G196" s="89"/>
      <c r="H196" s="82"/>
      <c r="I196" s="82"/>
      <c r="J196" s="89"/>
      <c r="K196" s="275"/>
      <c r="L196" s="315"/>
      <c r="M196" s="82"/>
      <c r="N196" s="89"/>
      <c r="O196" s="89"/>
      <c r="P196" s="275"/>
      <c r="Q196" s="448"/>
      <c r="R196" s="448"/>
      <c r="S196" s="459" t="e">
        <f t="shared" si="49"/>
        <v>#DIV/0!</v>
      </c>
    </row>
    <row r="197" spans="1:19" s="1" customFormat="1" ht="18" customHeight="1" hidden="1" thickBot="1">
      <c r="A197" s="120"/>
      <c r="B197" s="117"/>
      <c r="C197" s="118"/>
      <c r="D197" s="118"/>
      <c r="E197" s="124"/>
      <c r="F197" s="119" t="s">
        <v>239</v>
      </c>
      <c r="G197" s="94"/>
      <c r="H197" s="87"/>
      <c r="I197" s="87"/>
      <c r="J197" s="94"/>
      <c r="K197" s="291"/>
      <c r="L197" s="315"/>
      <c r="M197" s="82"/>
      <c r="N197" s="89"/>
      <c r="O197" s="89"/>
      <c r="P197" s="275"/>
      <c r="Q197" s="448"/>
      <c r="R197" s="448"/>
      <c r="S197" s="459" t="e">
        <f t="shared" si="49"/>
        <v>#DIV/0!</v>
      </c>
    </row>
    <row r="198" spans="1:19" s="1" customFormat="1" ht="63.75">
      <c r="A198" s="123" t="s">
        <v>268</v>
      </c>
      <c r="B198" s="66" t="s">
        <v>202</v>
      </c>
      <c r="C198" s="67" t="s">
        <v>198</v>
      </c>
      <c r="D198" s="67" t="s">
        <v>262</v>
      </c>
      <c r="E198" s="68" t="s">
        <v>269</v>
      </c>
      <c r="F198" s="69"/>
      <c r="G198" s="200">
        <f aca="true" t="shared" si="53" ref="G198:K199">G199</f>
        <v>1792</v>
      </c>
      <c r="H198" s="70">
        <f t="shared" si="53"/>
        <v>1792.1999999999998</v>
      </c>
      <c r="I198" s="70">
        <f t="shared" si="53"/>
        <v>1792</v>
      </c>
      <c r="J198" s="200">
        <f t="shared" si="53"/>
        <v>145</v>
      </c>
      <c r="K198" s="286">
        <f aca="true" t="shared" si="54" ref="K198:Q198">K217+K220</f>
        <v>1937</v>
      </c>
      <c r="L198" s="286">
        <f t="shared" si="54"/>
        <v>0</v>
      </c>
      <c r="M198" s="286">
        <f t="shared" si="54"/>
        <v>0</v>
      </c>
      <c r="N198" s="286">
        <f t="shared" si="54"/>
        <v>1937</v>
      </c>
      <c r="O198" s="286">
        <f t="shared" si="54"/>
        <v>0</v>
      </c>
      <c r="P198" s="286">
        <f t="shared" si="54"/>
        <v>27</v>
      </c>
      <c r="Q198" s="449">
        <f t="shared" si="54"/>
        <v>1964</v>
      </c>
      <c r="R198" s="449">
        <f>R217+R220</f>
        <v>1892.43565</v>
      </c>
      <c r="S198" s="465">
        <f t="shared" si="49"/>
        <v>96.35619399185336</v>
      </c>
    </row>
    <row r="199" spans="1:19" s="1" customFormat="1" ht="12.75" hidden="1">
      <c r="A199" s="109" t="s">
        <v>220</v>
      </c>
      <c r="B199" s="99" t="s">
        <v>202</v>
      </c>
      <c r="C199" s="100" t="s">
        <v>198</v>
      </c>
      <c r="D199" s="100" t="s">
        <v>262</v>
      </c>
      <c r="E199" s="110" t="s">
        <v>269</v>
      </c>
      <c r="F199" s="101" t="s">
        <v>201</v>
      </c>
      <c r="G199" s="89">
        <f t="shared" si="53"/>
        <v>1792</v>
      </c>
      <c r="H199" s="82">
        <f t="shared" si="53"/>
        <v>1792.1999999999998</v>
      </c>
      <c r="I199" s="82">
        <f t="shared" si="53"/>
        <v>1792</v>
      </c>
      <c r="J199" s="89">
        <f t="shared" si="53"/>
        <v>145</v>
      </c>
      <c r="K199" s="275">
        <f t="shared" si="53"/>
        <v>1937</v>
      </c>
      <c r="L199" s="315"/>
      <c r="M199" s="82"/>
      <c r="N199" s="89"/>
      <c r="O199" s="89"/>
      <c r="P199" s="275"/>
      <c r="Q199" s="448"/>
      <c r="R199" s="448"/>
      <c r="S199" s="465" t="e">
        <f t="shared" si="49"/>
        <v>#DIV/0!</v>
      </c>
    </row>
    <row r="200" spans="1:19" s="1" customFormat="1" ht="0.75" customHeight="1" hidden="1">
      <c r="A200" s="46" t="s">
        <v>208</v>
      </c>
      <c r="B200" s="71" t="s">
        <v>202</v>
      </c>
      <c r="C200" s="76" t="s">
        <v>198</v>
      </c>
      <c r="D200" s="76" t="s">
        <v>262</v>
      </c>
      <c r="E200" s="77" t="s">
        <v>269</v>
      </c>
      <c r="F200" s="78" t="s">
        <v>201</v>
      </c>
      <c r="G200" s="89">
        <f>G217+G220</f>
        <v>1792</v>
      </c>
      <c r="H200" s="82">
        <f>H217+H220</f>
        <v>1792.1999999999998</v>
      </c>
      <c r="I200" s="82">
        <f>I217+I220</f>
        <v>1792</v>
      </c>
      <c r="J200" s="89">
        <f>J217+J220</f>
        <v>145</v>
      </c>
      <c r="K200" s="275">
        <f>K217+K220</f>
        <v>1937</v>
      </c>
      <c r="L200" s="315"/>
      <c r="M200" s="82"/>
      <c r="N200" s="89"/>
      <c r="O200" s="89"/>
      <c r="P200" s="275"/>
      <c r="Q200" s="448"/>
      <c r="R200" s="448"/>
      <c r="S200" s="465" t="e">
        <f t="shared" si="49"/>
        <v>#DIV/0!</v>
      </c>
    </row>
    <row r="201" spans="1:19" s="1" customFormat="1" ht="1.5" customHeight="1" hidden="1">
      <c r="A201" s="46" t="s">
        <v>210</v>
      </c>
      <c r="B201" s="71" t="s">
        <v>202</v>
      </c>
      <c r="C201" s="76" t="s">
        <v>198</v>
      </c>
      <c r="D201" s="76" t="s">
        <v>262</v>
      </c>
      <c r="E201" s="77" t="s">
        <v>269</v>
      </c>
      <c r="F201" s="78" t="s">
        <v>209</v>
      </c>
      <c r="G201" s="96">
        <f>G202+G206+G213</f>
        <v>0</v>
      </c>
      <c r="H201" s="75">
        <f>H202+H206+H213</f>
        <v>0</v>
      </c>
      <c r="I201" s="75">
        <f>I202+I206+I213</f>
        <v>0</v>
      </c>
      <c r="J201" s="96">
        <f>J202+J206+J213</f>
        <v>0</v>
      </c>
      <c r="K201" s="287">
        <f>K202+K206+K213</f>
        <v>0</v>
      </c>
      <c r="L201" s="313"/>
      <c r="M201" s="75"/>
      <c r="N201" s="96"/>
      <c r="O201" s="96"/>
      <c r="P201" s="287"/>
      <c r="Q201" s="449"/>
      <c r="R201" s="449"/>
      <c r="S201" s="465" t="e">
        <f t="shared" si="49"/>
        <v>#DIV/0!</v>
      </c>
    </row>
    <row r="202" spans="1:19" s="1" customFormat="1" ht="1.5" customHeight="1" hidden="1">
      <c r="A202" s="46" t="s">
        <v>222</v>
      </c>
      <c r="B202" s="71" t="s">
        <v>202</v>
      </c>
      <c r="C202" s="76" t="s">
        <v>198</v>
      </c>
      <c r="D202" s="76" t="s">
        <v>262</v>
      </c>
      <c r="E202" s="77" t="s">
        <v>269</v>
      </c>
      <c r="F202" s="78" t="s">
        <v>209</v>
      </c>
      <c r="G202" s="96">
        <f>SUM(G203:G205)</f>
        <v>0</v>
      </c>
      <c r="H202" s="75">
        <f>SUM(H203:H205)</f>
        <v>0</v>
      </c>
      <c r="I202" s="75">
        <f>SUM(I203:I205)</f>
        <v>0</v>
      </c>
      <c r="J202" s="96">
        <f>SUM(J203:J205)</f>
        <v>0</v>
      </c>
      <c r="K202" s="287">
        <f>SUM(K203:K205)</f>
        <v>0</v>
      </c>
      <c r="L202" s="313"/>
      <c r="M202" s="75"/>
      <c r="N202" s="96"/>
      <c r="O202" s="96"/>
      <c r="P202" s="287"/>
      <c r="Q202" s="449"/>
      <c r="R202" s="449"/>
      <c r="S202" s="465" t="e">
        <f t="shared" si="49"/>
        <v>#DIV/0!</v>
      </c>
    </row>
    <row r="203" spans="1:19" s="1" customFormat="1" ht="1.5" customHeight="1" hidden="1">
      <c r="A203" s="46" t="s">
        <v>212</v>
      </c>
      <c r="B203" s="71" t="s">
        <v>202</v>
      </c>
      <c r="C203" s="76" t="s">
        <v>198</v>
      </c>
      <c r="D203" s="76" t="s">
        <v>262</v>
      </c>
      <c r="E203" s="77" t="s">
        <v>269</v>
      </c>
      <c r="F203" s="78" t="s">
        <v>209</v>
      </c>
      <c r="G203" s="96"/>
      <c r="H203" s="75"/>
      <c r="I203" s="75"/>
      <c r="J203" s="96"/>
      <c r="K203" s="287"/>
      <c r="L203" s="313"/>
      <c r="M203" s="75"/>
      <c r="N203" s="96"/>
      <c r="O203" s="96"/>
      <c r="P203" s="287"/>
      <c r="Q203" s="449"/>
      <c r="R203" s="449"/>
      <c r="S203" s="465" t="e">
        <f t="shared" si="49"/>
        <v>#DIV/0!</v>
      </c>
    </row>
    <row r="204" spans="1:19" s="1" customFormat="1" ht="1.5" customHeight="1" hidden="1">
      <c r="A204" s="46" t="s">
        <v>213</v>
      </c>
      <c r="B204" s="71" t="s">
        <v>202</v>
      </c>
      <c r="C204" s="76" t="s">
        <v>198</v>
      </c>
      <c r="D204" s="76" t="s">
        <v>262</v>
      </c>
      <c r="E204" s="77" t="s">
        <v>269</v>
      </c>
      <c r="F204" s="78" t="s">
        <v>209</v>
      </c>
      <c r="G204" s="96"/>
      <c r="H204" s="75"/>
      <c r="I204" s="75"/>
      <c r="J204" s="96"/>
      <c r="K204" s="287"/>
      <c r="L204" s="313"/>
      <c r="M204" s="75"/>
      <c r="N204" s="96"/>
      <c r="O204" s="96"/>
      <c r="P204" s="287"/>
      <c r="Q204" s="449"/>
      <c r="R204" s="449"/>
      <c r="S204" s="465" t="e">
        <f t="shared" si="49"/>
        <v>#DIV/0!</v>
      </c>
    </row>
    <row r="205" spans="1:19" s="1" customFormat="1" ht="1.5" customHeight="1" hidden="1">
      <c r="A205" s="46" t="s">
        <v>214</v>
      </c>
      <c r="B205" s="71" t="s">
        <v>202</v>
      </c>
      <c r="C205" s="76" t="s">
        <v>198</v>
      </c>
      <c r="D205" s="76" t="s">
        <v>262</v>
      </c>
      <c r="E205" s="77" t="s">
        <v>269</v>
      </c>
      <c r="F205" s="78" t="s">
        <v>209</v>
      </c>
      <c r="G205" s="96"/>
      <c r="H205" s="75"/>
      <c r="I205" s="75"/>
      <c r="J205" s="96"/>
      <c r="K205" s="287"/>
      <c r="L205" s="313"/>
      <c r="M205" s="75"/>
      <c r="N205" s="96"/>
      <c r="O205" s="96"/>
      <c r="P205" s="287"/>
      <c r="Q205" s="449"/>
      <c r="R205" s="449"/>
      <c r="S205" s="465" t="e">
        <f t="shared" si="49"/>
        <v>#DIV/0!</v>
      </c>
    </row>
    <row r="206" spans="1:19" s="1" customFormat="1" ht="1.5" customHeight="1" hidden="1">
      <c r="A206" s="46" t="s">
        <v>222</v>
      </c>
      <c r="B206" s="71" t="s">
        <v>202</v>
      </c>
      <c r="C206" s="76" t="s">
        <v>198</v>
      </c>
      <c r="D206" s="76" t="s">
        <v>262</v>
      </c>
      <c r="E206" s="77" t="s">
        <v>269</v>
      </c>
      <c r="F206" s="78" t="s">
        <v>209</v>
      </c>
      <c r="G206" s="96"/>
      <c r="H206" s="75"/>
      <c r="I206" s="75"/>
      <c r="J206" s="96"/>
      <c r="K206" s="287"/>
      <c r="L206" s="313"/>
      <c r="M206" s="75"/>
      <c r="N206" s="96"/>
      <c r="O206" s="96"/>
      <c r="P206" s="287"/>
      <c r="Q206" s="449"/>
      <c r="R206" s="449"/>
      <c r="S206" s="465" t="e">
        <f t="shared" si="49"/>
        <v>#DIV/0!</v>
      </c>
    </row>
    <row r="207" spans="1:19" s="1" customFormat="1" ht="1.5" customHeight="1" hidden="1">
      <c r="A207" s="46" t="s">
        <v>223</v>
      </c>
      <c r="B207" s="71" t="s">
        <v>202</v>
      </c>
      <c r="C207" s="76" t="s">
        <v>198</v>
      </c>
      <c r="D207" s="76" t="s">
        <v>262</v>
      </c>
      <c r="E207" s="77" t="s">
        <v>269</v>
      </c>
      <c r="F207" s="78" t="s">
        <v>209</v>
      </c>
      <c r="G207" s="96"/>
      <c r="H207" s="75"/>
      <c r="I207" s="75"/>
      <c r="J207" s="96"/>
      <c r="K207" s="287"/>
      <c r="L207" s="313"/>
      <c r="M207" s="75"/>
      <c r="N207" s="96"/>
      <c r="O207" s="96"/>
      <c r="P207" s="287"/>
      <c r="Q207" s="449"/>
      <c r="R207" s="449"/>
      <c r="S207" s="465" t="e">
        <f aca="true" t="shared" si="55" ref="S207:S270">R207/Q207*100</f>
        <v>#DIV/0!</v>
      </c>
    </row>
    <row r="208" spans="1:19" s="1" customFormat="1" ht="1.5" customHeight="1" hidden="1">
      <c r="A208" s="46" t="s">
        <v>224</v>
      </c>
      <c r="B208" s="71" t="s">
        <v>202</v>
      </c>
      <c r="C208" s="76" t="s">
        <v>198</v>
      </c>
      <c r="D208" s="76" t="s">
        <v>262</v>
      </c>
      <c r="E208" s="77" t="s">
        <v>269</v>
      </c>
      <c r="F208" s="78" t="s">
        <v>209</v>
      </c>
      <c r="G208" s="96"/>
      <c r="H208" s="75"/>
      <c r="I208" s="75"/>
      <c r="J208" s="96"/>
      <c r="K208" s="287"/>
      <c r="L208" s="313"/>
      <c r="M208" s="75"/>
      <c r="N208" s="96"/>
      <c r="O208" s="96"/>
      <c r="P208" s="287"/>
      <c r="Q208" s="449"/>
      <c r="R208" s="449"/>
      <c r="S208" s="465" t="e">
        <f t="shared" si="55"/>
        <v>#DIV/0!</v>
      </c>
    </row>
    <row r="209" spans="1:19" s="1" customFormat="1" ht="1.5" customHeight="1" hidden="1">
      <c r="A209" s="46" t="s">
        <v>242</v>
      </c>
      <c r="B209" s="71" t="s">
        <v>202</v>
      </c>
      <c r="C209" s="76" t="s">
        <v>198</v>
      </c>
      <c r="D209" s="76" t="s">
        <v>262</v>
      </c>
      <c r="E209" s="77" t="s">
        <v>269</v>
      </c>
      <c r="F209" s="78" t="s">
        <v>209</v>
      </c>
      <c r="G209" s="96"/>
      <c r="H209" s="75"/>
      <c r="I209" s="75"/>
      <c r="J209" s="96"/>
      <c r="K209" s="287"/>
      <c r="L209" s="313"/>
      <c r="M209" s="75"/>
      <c r="N209" s="96"/>
      <c r="O209" s="96"/>
      <c r="P209" s="287"/>
      <c r="Q209" s="449"/>
      <c r="R209" s="449"/>
      <c r="S209" s="465" t="e">
        <f t="shared" si="55"/>
        <v>#DIV/0!</v>
      </c>
    </row>
    <row r="210" spans="1:19" s="1" customFormat="1" ht="1.5" customHeight="1" hidden="1">
      <c r="A210" s="46" t="s">
        <v>243</v>
      </c>
      <c r="B210" s="71" t="s">
        <v>202</v>
      </c>
      <c r="C210" s="76" t="s">
        <v>198</v>
      </c>
      <c r="D210" s="76" t="s">
        <v>262</v>
      </c>
      <c r="E210" s="77" t="s">
        <v>269</v>
      </c>
      <c r="F210" s="78" t="s">
        <v>209</v>
      </c>
      <c r="G210" s="96"/>
      <c r="H210" s="75"/>
      <c r="I210" s="75"/>
      <c r="J210" s="96"/>
      <c r="K210" s="287"/>
      <c r="L210" s="313"/>
      <c r="M210" s="75"/>
      <c r="N210" s="96"/>
      <c r="O210" s="96"/>
      <c r="P210" s="287"/>
      <c r="Q210" s="449"/>
      <c r="R210" s="449"/>
      <c r="S210" s="465" t="e">
        <f t="shared" si="55"/>
        <v>#DIV/0!</v>
      </c>
    </row>
    <row r="211" spans="1:19" s="1" customFormat="1" ht="1.5" customHeight="1" hidden="1">
      <c r="A211" s="46" t="s">
        <v>225</v>
      </c>
      <c r="B211" s="71" t="s">
        <v>202</v>
      </c>
      <c r="C211" s="76" t="s">
        <v>198</v>
      </c>
      <c r="D211" s="76" t="s">
        <v>262</v>
      </c>
      <c r="E211" s="77" t="s">
        <v>269</v>
      </c>
      <c r="F211" s="78" t="s">
        <v>209</v>
      </c>
      <c r="G211" s="96"/>
      <c r="H211" s="75"/>
      <c r="I211" s="75"/>
      <c r="J211" s="96"/>
      <c r="K211" s="287"/>
      <c r="L211" s="313"/>
      <c r="M211" s="75"/>
      <c r="N211" s="96"/>
      <c r="O211" s="96"/>
      <c r="P211" s="287"/>
      <c r="Q211" s="449"/>
      <c r="R211" s="449"/>
      <c r="S211" s="465" t="e">
        <f t="shared" si="55"/>
        <v>#DIV/0!</v>
      </c>
    </row>
    <row r="212" spans="1:19" s="1" customFormat="1" ht="1.5" customHeight="1" hidden="1">
      <c r="A212" s="46" t="s">
        <v>226</v>
      </c>
      <c r="B212" s="71" t="s">
        <v>202</v>
      </c>
      <c r="C212" s="76" t="s">
        <v>198</v>
      </c>
      <c r="D212" s="76" t="s">
        <v>262</v>
      </c>
      <c r="E212" s="77" t="s">
        <v>269</v>
      </c>
      <c r="F212" s="78" t="s">
        <v>209</v>
      </c>
      <c r="G212" s="96"/>
      <c r="H212" s="75"/>
      <c r="I212" s="75"/>
      <c r="J212" s="96"/>
      <c r="K212" s="287"/>
      <c r="L212" s="313"/>
      <c r="M212" s="75"/>
      <c r="N212" s="96"/>
      <c r="O212" s="96"/>
      <c r="P212" s="287"/>
      <c r="Q212" s="449"/>
      <c r="R212" s="449"/>
      <c r="S212" s="465" t="e">
        <f t="shared" si="55"/>
        <v>#DIV/0!</v>
      </c>
    </row>
    <row r="213" spans="1:19" s="1" customFormat="1" ht="1.5" customHeight="1" hidden="1">
      <c r="A213" s="46" t="s">
        <v>227</v>
      </c>
      <c r="B213" s="71" t="s">
        <v>202</v>
      </c>
      <c r="C213" s="76" t="s">
        <v>198</v>
      </c>
      <c r="D213" s="76" t="s">
        <v>262</v>
      </c>
      <c r="E213" s="77" t="s">
        <v>269</v>
      </c>
      <c r="F213" s="78" t="s">
        <v>209</v>
      </c>
      <c r="G213" s="96">
        <f>8-8</f>
        <v>0</v>
      </c>
      <c r="H213" s="75">
        <f>8-8</f>
        <v>0</v>
      </c>
      <c r="I213" s="75">
        <f>8-8</f>
        <v>0</v>
      </c>
      <c r="J213" s="96">
        <f>8-8</f>
        <v>0</v>
      </c>
      <c r="K213" s="287">
        <f>8-8</f>
        <v>0</v>
      </c>
      <c r="L213" s="313"/>
      <c r="M213" s="75"/>
      <c r="N213" s="96"/>
      <c r="O213" s="96"/>
      <c r="P213" s="287"/>
      <c r="Q213" s="449"/>
      <c r="R213" s="449"/>
      <c r="S213" s="465" t="e">
        <f t="shared" si="55"/>
        <v>#DIV/0!</v>
      </c>
    </row>
    <row r="214" spans="1:19" s="1" customFormat="1" ht="1.5" customHeight="1" hidden="1">
      <c r="A214" s="46" t="s">
        <v>228</v>
      </c>
      <c r="B214" s="71" t="s">
        <v>202</v>
      </c>
      <c r="C214" s="76" t="s">
        <v>198</v>
      </c>
      <c r="D214" s="76" t="s">
        <v>262</v>
      </c>
      <c r="E214" s="77" t="s">
        <v>269</v>
      </c>
      <c r="F214" s="78" t="s">
        <v>209</v>
      </c>
      <c r="G214" s="96">
        <f>SUM(G215:G216)</f>
        <v>0</v>
      </c>
      <c r="H214" s="75">
        <f>SUM(H215:H216)</f>
        <v>0</v>
      </c>
      <c r="I214" s="75">
        <f>SUM(I215:I216)</f>
        <v>0</v>
      </c>
      <c r="J214" s="96">
        <f>SUM(J215:J216)</f>
        <v>0</v>
      </c>
      <c r="K214" s="287">
        <f>SUM(K215:K216)</f>
        <v>0</v>
      </c>
      <c r="L214" s="313"/>
      <c r="M214" s="75"/>
      <c r="N214" s="96"/>
      <c r="O214" s="96"/>
      <c r="P214" s="287"/>
      <c r="Q214" s="449"/>
      <c r="R214" s="449"/>
      <c r="S214" s="465" t="e">
        <f t="shared" si="55"/>
        <v>#DIV/0!</v>
      </c>
    </row>
    <row r="215" spans="1:19" s="1" customFormat="1" ht="1.5" customHeight="1" hidden="1">
      <c r="A215" s="46" t="s">
        <v>229</v>
      </c>
      <c r="B215" s="71" t="s">
        <v>202</v>
      </c>
      <c r="C215" s="76" t="s">
        <v>198</v>
      </c>
      <c r="D215" s="76" t="s">
        <v>262</v>
      </c>
      <c r="E215" s="77" t="s">
        <v>269</v>
      </c>
      <c r="F215" s="78" t="s">
        <v>209</v>
      </c>
      <c r="G215" s="96"/>
      <c r="H215" s="75"/>
      <c r="I215" s="75"/>
      <c r="J215" s="96"/>
      <c r="K215" s="287"/>
      <c r="L215" s="313"/>
      <c r="M215" s="75"/>
      <c r="N215" s="96"/>
      <c r="O215" s="96"/>
      <c r="P215" s="287"/>
      <c r="Q215" s="449"/>
      <c r="R215" s="449"/>
      <c r="S215" s="465" t="e">
        <f t="shared" si="55"/>
        <v>#DIV/0!</v>
      </c>
    </row>
    <row r="216" spans="1:19" s="1" customFormat="1" ht="1.5" customHeight="1" hidden="1">
      <c r="A216" s="108" t="s">
        <v>230</v>
      </c>
      <c r="B216" s="90" t="s">
        <v>202</v>
      </c>
      <c r="C216" s="91" t="s">
        <v>198</v>
      </c>
      <c r="D216" s="91" t="s">
        <v>262</v>
      </c>
      <c r="E216" s="92" t="s">
        <v>269</v>
      </c>
      <c r="F216" s="93" t="s">
        <v>209</v>
      </c>
      <c r="G216" s="96"/>
      <c r="H216" s="75"/>
      <c r="I216" s="75"/>
      <c r="J216" s="96"/>
      <c r="K216" s="287"/>
      <c r="L216" s="313"/>
      <c r="M216" s="75"/>
      <c r="N216" s="96"/>
      <c r="O216" s="96"/>
      <c r="P216" s="287"/>
      <c r="Q216" s="449"/>
      <c r="R216" s="449"/>
      <c r="S216" s="465" t="e">
        <f t="shared" si="55"/>
        <v>#DIV/0!</v>
      </c>
    </row>
    <row r="217" spans="1:19" s="1" customFormat="1" ht="15.75" customHeight="1">
      <c r="A217" s="193" t="s">
        <v>108</v>
      </c>
      <c r="B217" s="141" t="s">
        <v>202</v>
      </c>
      <c r="C217" s="76" t="s">
        <v>198</v>
      </c>
      <c r="D217" s="76" t="s">
        <v>262</v>
      </c>
      <c r="E217" s="77" t="s">
        <v>269</v>
      </c>
      <c r="F217" s="101" t="s">
        <v>105</v>
      </c>
      <c r="G217" s="89">
        <f>G218+G219</f>
        <v>1376.6</v>
      </c>
      <c r="H217" s="82">
        <f>H218+H219</f>
        <v>1376.6</v>
      </c>
      <c r="I217" s="82">
        <f>I218+I219</f>
        <v>1376.6</v>
      </c>
      <c r="J217" s="89">
        <v>145</v>
      </c>
      <c r="K217" s="275">
        <v>1521.6</v>
      </c>
      <c r="L217" s="315">
        <v>-31.3</v>
      </c>
      <c r="M217" s="82"/>
      <c r="N217" s="89">
        <f>K217+L217+M217</f>
        <v>1490.3</v>
      </c>
      <c r="O217" s="89"/>
      <c r="P217" s="275">
        <v>20.76923</v>
      </c>
      <c r="Q217" s="448">
        <f>N217+O217+P217</f>
        <v>1511.06923</v>
      </c>
      <c r="R217" s="448">
        <v>1439.50488</v>
      </c>
      <c r="S217" s="444">
        <f t="shared" si="55"/>
        <v>95.26399263652532</v>
      </c>
    </row>
    <row r="218" spans="1:19" s="1" customFormat="1" ht="15" customHeight="1" hidden="1">
      <c r="A218" s="29"/>
      <c r="B218" s="161"/>
      <c r="C218" s="100"/>
      <c r="D218" s="100"/>
      <c r="E218" s="110"/>
      <c r="F218" s="81" t="s">
        <v>215</v>
      </c>
      <c r="G218" s="102">
        <v>1057.3</v>
      </c>
      <c r="H218" s="137">
        <v>1057.3</v>
      </c>
      <c r="I218" s="137">
        <v>1057.3</v>
      </c>
      <c r="J218" s="102">
        <v>1057.3</v>
      </c>
      <c r="K218" s="275">
        <f>G218+J218</f>
        <v>2114.6</v>
      </c>
      <c r="L218" s="315"/>
      <c r="M218" s="82"/>
      <c r="N218" s="89"/>
      <c r="O218" s="89"/>
      <c r="P218" s="275"/>
      <c r="Q218" s="448"/>
      <c r="R218" s="448"/>
      <c r="S218" s="444" t="e">
        <f t="shared" si="55"/>
        <v>#DIV/0!</v>
      </c>
    </row>
    <row r="219" spans="1:19" s="1" customFormat="1" ht="18" customHeight="1" hidden="1">
      <c r="A219" s="46"/>
      <c r="B219" s="141"/>
      <c r="C219" s="76"/>
      <c r="D219" s="76"/>
      <c r="E219" s="77"/>
      <c r="F219" s="78" t="s">
        <v>217</v>
      </c>
      <c r="G219" s="89">
        <v>319.3</v>
      </c>
      <c r="H219" s="82">
        <v>319.3</v>
      </c>
      <c r="I219" s="82">
        <v>319.3</v>
      </c>
      <c r="J219" s="89">
        <v>319.3</v>
      </c>
      <c r="K219" s="275">
        <f>G219+J219</f>
        <v>638.6</v>
      </c>
      <c r="L219" s="315"/>
      <c r="M219" s="82"/>
      <c r="N219" s="89"/>
      <c r="O219" s="89"/>
      <c r="P219" s="275"/>
      <c r="Q219" s="448"/>
      <c r="R219" s="448"/>
      <c r="S219" s="444" t="e">
        <f t="shared" si="55"/>
        <v>#DIV/0!</v>
      </c>
    </row>
    <row r="220" spans="1:19" s="1" customFormat="1" ht="15.75" customHeight="1" thickBot="1">
      <c r="A220" s="192" t="s">
        <v>109</v>
      </c>
      <c r="B220" s="141" t="s">
        <v>202</v>
      </c>
      <c r="C220" s="76" t="s">
        <v>198</v>
      </c>
      <c r="D220" s="76" t="s">
        <v>262</v>
      </c>
      <c r="E220" s="77" t="s">
        <v>269</v>
      </c>
      <c r="F220" s="81" t="s">
        <v>106</v>
      </c>
      <c r="G220" s="89">
        <v>415.4</v>
      </c>
      <c r="H220" s="82">
        <v>415.6</v>
      </c>
      <c r="I220" s="82">
        <v>415.4</v>
      </c>
      <c r="J220" s="89"/>
      <c r="K220" s="275">
        <v>415.4</v>
      </c>
      <c r="L220" s="315">
        <v>31.3</v>
      </c>
      <c r="M220" s="82"/>
      <c r="N220" s="89">
        <f>K220+L220+M220</f>
        <v>446.7</v>
      </c>
      <c r="O220" s="89"/>
      <c r="P220" s="275">
        <v>6.23077</v>
      </c>
      <c r="Q220" s="448">
        <f>N220+O220+P220</f>
        <v>452.93077</v>
      </c>
      <c r="R220" s="448">
        <v>452.93077</v>
      </c>
      <c r="S220" s="444">
        <f t="shared" si="55"/>
        <v>100</v>
      </c>
    </row>
    <row r="221" spans="1:19" s="1" customFormat="1" ht="4.5" customHeight="1" hidden="1" thickBot="1">
      <c r="A221" s="29"/>
      <c r="B221" s="30"/>
      <c r="C221" s="79"/>
      <c r="D221" s="79"/>
      <c r="E221" s="80"/>
      <c r="F221" s="81" t="s">
        <v>233</v>
      </c>
      <c r="G221" s="89"/>
      <c r="H221" s="82"/>
      <c r="I221" s="82"/>
      <c r="J221" s="89"/>
      <c r="K221" s="275"/>
      <c r="L221" s="315"/>
      <c r="M221" s="82"/>
      <c r="N221" s="89"/>
      <c r="O221" s="89"/>
      <c r="P221" s="275"/>
      <c r="Q221" s="448"/>
      <c r="R221" s="448"/>
      <c r="S221" s="465" t="e">
        <f t="shared" si="55"/>
        <v>#DIV/0!</v>
      </c>
    </row>
    <row r="222" spans="1:19" s="1" customFormat="1" ht="13.5" hidden="1" thickBot="1">
      <c r="A222" s="46"/>
      <c r="B222" s="71"/>
      <c r="C222" s="76"/>
      <c r="D222" s="76"/>
      <c r="E222" s="77"/>
      <c r="F222" s="78" t="s">
        <v>234</v>
      </c>
      <c r="G222" s="89"/>
      <c r="H222" s="82"/>
      <c r="I222" s="82"/>
      <c r="J222" s="89"/>
      <c r="K222" s="275"/>
      <c r="L222" s="315"/>
      <c r="M222" s="82"/>
      <c r="N222" s="89"/>
      <c r="O222" s="89"/>
      <c r="P222" s="275"/>
      <c r="Q222" s="448"/>
      <c r="R222" s="448"/>
      <c r="S222" s="465" t="e">
        <f t="shared" si="55"/>
        <v>#DIV/0!</v>
      </c>
    </row>
    <row r="223" spans="1:19" s="1" customFormat="1" ht="13.5" hidden="1" thickBot="1">
      <c r="A223" s="29"/>
      <c r="B223" s="30"/>
      <c r="C223" s="79"/>
      <c r="D223" s="79"/>
      <c r="E223" s="80"/>
      <c r="F223" s="81" t="s">
        <v>245</v>
      </c>
      <c r="G223" s="89"/>
      <c r="H223" s="82"/>
      <c r="I223" s="82"/>
      <c r="J223" s="89"/>
      <c r="K223" s="275"/>
      <c r="L223" s="315"/>
      <c r="M223" s="82"/>
      <c r="N223" s="89"/>
      <c r="O223" s="89"/>
      <c r="P223" s="275"/>
      <c r="Q223" s="448"/>
      <c r="R223" s="448"/>
      <c r="S223" s="465" t="e">
        <f t="shared" si="55"/>
        <v>#DIV/0!</v>
      </c>
    </row>
    <row r="224" spans="1:19" s="1" customFormat="1" ht="13.5" hidden="1" thickBot="1">
      <c r="A224" s="46"/>
      <c r="B224" s="71"/>
      <c r="C224" s="76"/>
      <c r="D224" s="76"/>
      <c r="E224" s="77"/>
      <c r="F224" s="78" t="s">
        <v>235</v>
      </c>
      <c r="G224" s="89"/>
      <c r="H224" s="82"/>
      <c r="I224" s="82"/>
      <c r="J224" s="89"/>
      <c r="K224" s="275"/>
      <c r="L224" s="315"/>
      <c r="M224" s="82"/>
      <c r="N224" s="89"/>
      <c r="O224" s="89"/>
      <c r="P224" s="275"/>
      <c r="Q224" s="448"/>
      <c r="R224" s="448"/>
      <c r="S224" s="465" t="e">
        <f t="shared" si="55"/>
        <v>#DIV/0!</v>
      </c>
    </row>
    <row r="225" spans="1:19" s="1" customFormat="1" ht="13.5" hidden="1" thickBot="1">
      <c r="A225" s="29"/>
      <c r="B225" s="30"/>
      <c r="C225" s="79"/>
      <c r="D225" s="79"/>
      <c r="E225" s="80"/>
      <c r="F225" s="81" t="s">
        <v>236</v>
      </c>
      <c r="G225" s="89"/>
      <c r="H225" s="82"/>
      <c r="I225" s="82"/>
      <c r="J225" s="89"/>
      <c r="K225" s="275"/>
      <c r="L225" s="315"/>
      <c r="M225" s="82"/>
      <c r="N225" s="89"/>
      <c r="O225" s="89"/>
      <c r="P225" s="275"/>
      <c r="Q225" s="448"/>
      <c r="R225" s="448"/>
      <c r="S225" s="465" t="e">
        <f t="shared" si="55"/>
        <v>#DIV/0!</v>
      </c>
    </row>
    <row r="226" spans="1:19" s="1" customFormat="1" ht="13.5" hidden="1" thickBot="1">
      <c r="A226" s="46"/>
      <c r="B226" s="71"/>
      <c r="C226" s="76"/>
      <c r="D226" s="76"/>
      <c r="E226" s="77"/>
      <c r="F226" s="78" t="s">
        <v>238</v>
      </c>
      <c r="G226" s="89"/>
      <c r="H226" s="82"/>
      <c r="I226" s="82"/>
      <c r="J226" s="89"/>
      <c r="K226" s="275"/>
      <c r="L226" s="315"/>
      <c r="M226" s="82"/>
      <c r="N226" s="89"/>
      <c r="O226" s="89"/>
      <c r="P226" s="275"/>
      <c r="Q226" s="448"/>
      <c r="R226" s="448"/>
      <c r="S226" s="465" t="e">
        <f t="shared" si="55"/>
        <v>#DIV/0!</v>
      </c>
    </row>
    <row r="227" spans="1:19" s="1" customFormat="1" ht="20.25" customHeight="1" hidden="1" thickBot="1">
      <c r="A227" s="62"/>
      <c r="B227" s="53"/>
      <c r="C227" s="84"/>
      <c r="D227" s="84"/>
      <c r="E227" s="85"/>
      <c r="F227" s="86" t="s">
        <v>239</v>
      </c>
      <c r="G227" s="94"/>
      <c r="H227" s="87"/>
      <c r="I227" s="87"/>
      <c r="J227" s="94"/>
      <c r="K227" s="291"/>
      <c r="L227" s="315"/>
      <c r="M227" s="82"/>
      <c r="N227" s="89"/>
      <c r="O227" s="89"/>
      <c r="P227" s="275"/>
      <c r="Q227" s="460"/>
      <c r="R227" s="460"/>
      <c r="S227" s="496" t="e">
        <f t="shared" si="55"/>
        <v>#DIV/0!</v>
      </c>
    </row>
    <row r="228" spans="1:19" s="1" customFormat="1" ht="38.25">
      <c r="A228" s="123" t="s">
        <v>270</v>
      </c>
      <c r="B228" s="66" t="s">
        <v>202</v>
      </c>
      <c r="C228" s="67" t="s">
        <v>198</v>
      </c>
      <c r="D228" s="67" t="s">
        <v>262</v>
      </c>
      <c r="E228" s="68" t="s">
        <v>271</v>
      </c>
      <c r="F228" s="69"/>
      <c r="G228" s="200">
        <f aca="true" t="shared" si="56" ref="G228:K229">G229</f>
        <v>1127.2</v>
      </c>
      <c r="H228" s="70">
        <f t="shared" si="56"/>
        <v>1127.2</v>
      </c>
      <c r="I228" s="70">
        <f t="shared" si="56"/>
        <v>1127.2</v>
      </c>
      <c r="J228" s="200">
        <f t="shared" si="56"/>
        <v>81.1</v>
      </c>
      <c r="K228" s="286">
        <f aca="true" t="shared" si="57" ref="K228:Q228">K250+K253</f>
        <v>1208.3000000000002</v>
      </c>
      <c r="L228" s="286">
        <f t="shared" si="57"/>
        <v>0</v>
      </c>
      <c r="M228" s="286">
        <f t="shared" si="57"/>
        <v>0</v>
      </c>
      <c r="N228" s="286">
        <f t="shared" si="57"/>
        <v>1208.3000000000002</v>
      </c>
      <c r="O228" s="286">
        <f t="shared" si="57"/>
        <v>0</v>
      </c>
      <c r="P228" s="286">
        <f t="shared" si="57"/>
        <v>16.6</v>
      </c>
      <c r="Q228" s="471">
        <f t="shared" si="57"/>
        <v>1224.9</v>
      </c>
      <c r="R228" s="472">
        <f>R250+R253</f>
        <v>981.09415</v>
      </c>
      <c r="S228" s="473">
        <f t="shared" si="55"/>
        <v>80.09585680463711</v>
      </c>
    </row>
    <row r="229" spans="1:19" s="1" customFormat="1" ht="12.75" hidden="1">
      <c r="A229" s="109" t="s">
        <v>220</v>
      </c>
      <c r="B229" s="99" t="s">
        <v>202</v>
      </c>
      <c r="C229" s="100" t="s">
        <v>198</v>
      </c>
      <c r="D229" s="100" t="s">
        <v>262</v>
      </c>
      <c r="E229" s="110" t="s">
        <v>271</v>
      </c>
      <c r="F229" s="101" t="s">
        <v>201</v>
      </c>
      <c r="G229" s="89">
        <f t="shared" si="56"/>
        <v>1127.2</v>
      </c>
      <c r="H229" s="82">
        <f t="shared" si="56"/>
        <v>1127.2</v>
      </c>
      <c r="I229" s="82">
        <f t="shared" si="56"/>
        <v>1127.2</v>
      </c>
      <c r="J229" s="89">
        <f t="shared" si="56"/>
        <v>81.1</v>
      </c>
      <c r="K229" s="275">
        <f t="shared" si="56"/>
        <v>1208.3000000000002</v>
      </c>
      <c r="L229" s="315"/>
      <c r="M229" s="82"/>
      <c r="N229" s="89"/>
      <c r="O229" s="89"/>
      <c r="P229" s="275"/>
      <c r="Q229" s="487"/>
      <c r="R229" s="448"/>
      <c r="S229" s="465" t="e">
        <f t="shared" si="55"/>
        <v>#DIV/0!</v>
      </c>
    </row>
    <row r="230" spans="1:19" s="1" customFormat="1" ht="16.5" customHeight="1" hidden="1">
      <c r="A230" s="46" t="s">
        <v>208</v>
      </c>
      <c r="B230" s="71" t="s">
        <v>202</v>
      </c>
      <c r="C230" s="76" t="s">
        <v>198</v>
      </c>
      <c r="D230" s="76" t="s">
        <v>262</v>
      </c>
      <c r="E230" s="77" t="s">
        <v>271</v>
      </c>
      <c r="F230" s="78" t="s">
        <v>201</v>
      </c>
      <c r="G230" s="89">
        <f>G250+G253</f>
        <v>1127.2</v>
      </c>
      <c r="H230" s="82">
        <f>H250+H253</f>
        <v>1127.2</v>
      </c>
      <c r="I230" s="82">
        <f>I250+I253</f>
        <v>1127.2</v>
      </c>
      <c r="J230" s="89">
        <f>J250+J253</f>
        <v>81.1</v>
      </c>
      <c r="K230" s="275">
        <f>K250+K253</f>
        <v>1208.3000000000002</v>
      </c>
      <c r="L230" s="315"/>
      <c r="M230" s="82"/>
      <c r="N230" s="89"/>
      <c r="O230" s="89"/>
      <c r="P230" s="275"/>
      <c r="Q230" s="487"/>
      <c r="R230" s="448"/>
      <c r="S230" s="465" t="e">
        <f t="shared" si="55"/>
        <v>#DIV/0!</v>
      </c>
    </row>
    <row r="231" spans="1:19" s="1" customFormat="1" ht="2.25" customHeight="1" hidden="1">
      <c r="A231" s="46" t="s">
        <v>210</v>
      </c>
      <c r="B231" s="71" t="s">
        <v>202</v>
      </c>
      <c r="C231" s="76" t="s">
        <v>198</v>
      </c>
      <c r="D231" s="76" t="s">
        <v>262</v>
      </c>
      <c r="E231" s="77" t="s">
        <v>271</v>
      </c>
      <c r="F231" s="78" t="s">
        <v>209</v>
      </c>
      <c r="G231" s="96">
        <f>G232+G236+G243</f>
        <v>0</v>
      </c>
      <c r="H231" s="75">
        <f>H232+H236+H243</f>
        <v>0</v>
      </c>
      <c r="I231" s="75">
        <f>I232+I236+I243</f>
        <v>0</v>
      </c>
      <c r="J231" s="96">
        <f>J232+J236+J243</f>
        <v>0</v>
      </c>
      <c r="K231" s="287">
        <f>K232+K236+K243</f>
        <v>0</v>
      </c>
      <c r="L231" s="313"/>
      <c r="M231" s="75"/>
      <c r="N231" s="96"/>
      <c r="O231" s="96"/>
      <c r="P231" s="287"/>
      <c r="Q231" s="474"/>
      <c r="R231" s="449"/>
      <c r="S231" s="465" t="e">
        <f t="shared" si="55"/>
        <v>#DIV/0!</v>
      </c>
    </row>
    <row r="232" spans="1:19" s="1" customFormat="1" ht="2.25" customHeight="1" hidden="1">
      <c r="A232" s="46" t="s">
        <v>222</v>
      </c>
      <c r="B232" s="71" t="s">
        <v>202</v>
      </c>
      <c r="C232" s="76" t="s">
        <v>198</v>
      </c>
      <c r="D232" s="76" t="s">
        <v>262</v>
      </c>
      <c r="E232" s="77" t="s">
        <v>271</v>
      </c>
      <c r="F232" s="78" t="s">
        <v>209</v>
      </c>
      <c r="G232" s="96">
        <f>SUM(G233:G235)</f>
        <v>0</v>
      </c>
      <c r="H232" s="75">
        <f>SUM(H233:H235)</f>
        <v>0</v>
      </c>
      <c r="I232" s="75">
        <f>SUM(I233:I235)</f>
        <v>0</v>
      </c>
      <c r="J232" s="96">
        <f>SUM(J233:J235)</f>
        <v>0</v>
      </c>
      <c r="K232" s="287">
        <f>SUM(K233:K235)</f>
        <v>0</v>
      </c>
      <c r="L232" s="313"/>
      <c r="M232" s="75"/>
      <c r="N232" s="96"/>
      <c r="O232" s="96"/>
      <c r="P232" s="287"/>
      <c r="Q232" s="474"/>
      <c r="R232" s="449"/>
      <c r="S232" s="465" t="e">
        <f t="shared" si="55"/>
        <v>#DIV/0!</v>
      </c>
    </row>
    <row r="233" spans="1:19" s="1" customFormat="1" ht="2.25" customHeight="1" hidden="1">
      <c r="A233" s="46" t="s">
        <v>212</v>
      </c>
      <c r="B233" s="71" t="s">
        <v>202</v>
      </c>
      <c r="C233" s="76" t="s">
        <v>198</v>
      </c>
      <c r="D233" s="76" t="s">
        <v>262</v>
      </c>
      <c r="E233" s="77" t="s">
        <v>271</v>
      </c>
      <c r="F233" s="78" t="s">
        <v>209</v>
      </c>
      <c r="G233" s="96"/>
      <c r="H233" s="75"/>
      <c r="I233" s="75"/>
      <c r="J233" s="96"/>
      <c r="K233" s="287"/>
      <c r="L233" s="313"/>
      <c r="M233" s="75"/>
      <c r="N233" s="96"/>
      <c r="O233" s="96"/>
      <c r="P233" s="287"/>
      <c r="Q233" s="474"/>
      <c r="R233" s="449"/>
      <c r="S233" s="465" t="e">
        <f t="shared" si="55"/>
        <v>#DIV/0!</v>
      </c>
    </row>
    <row r="234" spans="1:19" s="1" customFormat="1" ht="2.25" customHeight="1" hidden="1">
      <c r="A234" s="46" t="s">
        <v>213</v>
      </c>
      <c r="B234" s="71" t="s">
        <v>202</v>
      </c>
      <c r="C234" s="76" t="s">
        <v>198</v>
      </c>
      <c r="D234" s="76" t="s">
        <v>262</v>
      </c>
      <c r="E234" s="77" t="s">
        <v>271</v>
      </c>
      <c r="F234" s="78" t="s">
        <v>209</v>
      </c>
      <c r="G234" s="96"/>
      <c r="H234" s="75"/>
      <c r="I234" s="75"/>
      <c r="J234" s="96"/>
      <c r="K234" s="287"/>
      <c r="L234" s="313"/>
      <c r="M234" s="75"/>
      <c r="N234" s="96"/>
      <c r="O234" s="96"/>
      <c r="P234" s="287"/>
      <c r="Q234" s="474"/>
      <c r="R234" s="449"/>
      <c r="S234" s="465" t="e">
        <f t="shared" si="55"/>
        <v>#DIV/0!</v>
      </c>
    </row>
    <row r="235" spans="1:19" s="1" customFormat="1" ht="2.25" customHeight="1" hidden="1">
      <c r="A235" s="46" t="s">
        <v>214</v>
      </c>
      <c r="B235" s="71" t="s">
        <v>202</v>
      </c>
      <c r="C235" s="76" t="s">
        <v>198</v>
      </c>
      <c r="D235" s="76" t="s">
        <v>262</v>
      </c>
      <c r="E235" s="77" t="s">
        <v>271</v>
      </c>
      <c r="F235" s="78" t="s">
        <v>209</v>
      </c>
      <c r="G235" s="96"/>
      <c r="H235" s="75"/>
      <c r="I235" s="75"/>
      <c r="J235" s="96"/>
      <c r="K235" s="287"/>
      <c r="L235" s="313"/>
      <c r="M235" s="75"/>
      <c r="N235" s="96"/>
      <c r="O235" s="96"/>
      <c r="P235" s="287"/>
      <c r="Q235" s="474"/>
      <c r="R235" s="449"/>
      <c r="S235" s="465" t="e">
        <f t="shared" si="55"/>
        <v>#DIV/0!</v>
      </c>
    </row>
    <row r="236" spans="1:19" s="1" customFormat="1" ht="2.25" customHeight="1" hidden="1">
      <c r="A236" s="46" t="s">
        <v>222</v>
      </c>
      <c r="B236" s="71" t="s">
        <v>202</v>
      </c>
      <c r="C236" s="76" t="s">
        <v>198</v>
      </c>
      <c r="D236" s="76" t="s">
        <v>262</v>
      </c>
      <c r="E236" s="77" t="s">
        <v>271</v>
      </c>
      <c r="F236" s="78" t="s">
        <v>209</v>
      </c>
      <c r="G236" s="96"/>
      <c r="H236" s="75"/>
      <c r="I236" s="75"/>
      <c r="J236" s="96"/>
      <c r="K236" s="287"/>
      <c r="L236" s="313"/>
      <c r="M236" s="75"/>
      <c r="N236" s="96"/>
      <c r="O236" s="96"/>
      <c r="P236" s="287"/>
      <c r="Q236" s="474"/>
      <c r="R236" s="449"/>
      <c r="S236" s="465" t="e">
        <f t="shared" si="55"/>
        <v>#DIV/0!</v>
      </c>
    </row>
    <row r="237" spans="1:19" s="1" customFormat="1" ht="2.25" customHeight="1" hidden="1">
      <c r="A237" s="46" t="s">
        <v>223</v>
      </c>
      <c r="B237" s="71" t="s">
        <v>202</v>
      </c>
      <c r="C237" s="76" t="s">
        <v>198</v>
      </c>
      <c r="D237" s="76" t="s">
        <v>262</v>
      </c>
      <c r="E237" s="77" t="s">
        <v>271</v>
      </c>
      <c r="F237" s="78" t="s">
        <v>209</v>
      </c>
      <c r="G237" s="96"/>
      <c r="H237" s="75"/>
      <c r="I237" s="75"/>
      <c r="J237" s="96"/>
      <c r="K237" s="287"/>
      <c r="L237" s="313"/>
      <c r="M237" s="75"/>
      <c r="N237" s="96"/>
      <c r="O237" s="96"/>
      <c r="P237" s="287"/>
      <c r="Q237" s="474"/>
      <c r="R237" s="449"/>
      <c r="S237" s="465" t="e">
        <f t="shared" si="55"/>
        <v>#DIV/0!</v>
      </c>
    </row>
    <row r="238" spans="1:19" s="1" customFormat="1" ht="2.25" customHeight="1" hidden="1">
      <c r="A238" s="46" t="s">
        <v>224</v>
      </c>
      <c r="B238" s="71" t="s">
        <v>202</v>
      </c>
      <c r="C238" s="76" t="s">
        <v>198</v>
      </c>
      <c r="D238" s="76" t="s">
        <v>262</v>
      </c>
      <c r="E238" s="77" t="s">
        <v>271</v>
      </c>
      <c r="F238" s="78" t="s">
        <v>209</v>
      </c>
      <c r="G238" s="96"/>
      <c r="H238" s="75"/>
      <c r="I238" s="75"/>
      <c r="J238" s="96"/>
      <c r="K238" s="287"/>
      <c r="L238" s="313"/>
      <c r="M238" s="75"/>
      <c r="N238" s="96"/>
      <c r="O238" s="96"/>
      <c r="P238" s="287"/>
      <c r="Q238" s="474"/>
      <c r="R238" s="449"/>
      <c r="S238" s="465" t="e">
        <f t="shared" si="55"/>
        <v>#DIV/0!</v>
      </c>
    </row>
    <row r="239" spans="1:19" s="1" customFormat="1" ht="2.25" customHeight="1" hidden="1">
      <c r="A239" s="46" t="s">
        <v>242</v>
      </c>
      <c r="B239" s="71" t="s">
        <v>202</v>
      </c>
      <c r="C239" s="76" t="s">
        <v>198</v>
      </c>
      <c r="D239" s="76" t="s">
        <v>262</v>
      </c>
      <c r="E239" s="77" t="s">
        <v>271</v>
      </c>
      <c r="F239" s="78" t="s">
        <v>209</v>
      </c>
      <c r="G239" s="96"/>
      <c r="H239" s="75"/>
      <c r="I239" s="75"/>
      <c r="J239" s="96"/>
      <c r="K239" s="287"/>
      <c r="L239" s="313"/>
      <c r="M239" s="75"/>
      <c r="N239" s="96"/>
      <c r="O239" s="96"/>
      <c r="P239" s="287"/>
      <c r="Q239" s="474"/>
      <c r="R239" s="449"/>
      <c r="S239" s="465" t="e">
        <f t="shared" si="55"/>
        <v>#DIV/0!</v>
      </c>
    </row>
    <row r="240" spans="1:19" s="1" customFormat="1" ht="2.25" customHeight="1" hidden="1">
      <c r="A240" s="46" t="s">
        <v>243</v>
      </c>
      <c r="B240" s="71" t="s">
        <v>202</v>
      </c>
      <c r="C240" s="76" t="s">
        <v>198</v>
      </c>
      <c r="D240" s="76" t="s">
        <v>262</v>
      </c>
      <c r="E240" s="77" t="s">
        <v>271</v>
      </c>
      <c r="F240" s="78" t="s">
        <v>209</v>
      </c>
      <c r="G240" s="96"/>
      <c r="H240" s="75"/>
      <c r="I240" s="75"/>
      <c r="J240" s="96"/>
      <c r="K240" s="287"/>
      <c r="L240" s="313"/>
      <c r="M240" s="75"/>
      <c r="N240" s="96"/>
      <c r="O240" s="96"/>
      <c r="P240" s="287"/>
      <c r="Q240" s="474"/>
      <c r="R240" s="449"/>
      <c r="S240" s="465" t="e">
        <f t="shared" si="55"/>
        <v>#DIV/0!</v>
      </c>
    </row>
    <row r="241" spans="1:19" s="1" customFormat="1" ht="2.25" customHeight="1" hidden="1">
      <c r="A241" s="46" t="s">
        <v>225</v>
      </c>
      <c r="B241" s="71" t="s">
        <v>202</v>
      </c>
      <c r="C241" s="76" t="s">
        <v>198</v>
      </c>
      <c r="D241" s="76" t="s">
        <v>262</v>
      </c>
      <c r="E241" s="77" t="s">
        <v>271</v>
      </c>
      <c r="F241" s="78" t="s">
        <v>209</v>
      </c>
      <c r="G241" s="96"/>
      <c r="H241" s="75"/>
      <c r="I241" s="75"/>
      <c r="J241" s="96"/>
      <c r="K241" s="287"/>
      <c r="L241" s="313"/>
      <c r="M241" s="75"/>
      <c r="N241" s="96"/>
      <c r="O241" s="96"/>
      <c r="P241" s="287"/>
      <c r="Q241" s="474"/>
      <c r="R241" s="449"/>
      <c r="S241" s="465" t="e">
        <f t="shared" si="55"/>
        <v>#DIV/0!</v>
      </c>
    </row>
    <row r="242" spans="1:19" s="1" customFormat="1" ht="2.25" customHeight="1" hidden="1">
      <c r="A242" s="46" t="s">
        <v>226</v>
      </c>
      <c r="B242" s="71" t="s">
        <v>202</v>
      </c>
      <c r="C242" s="76" t="s">
        <v>198</v>
      </c>
      <c r="D242" s="76" t="s">
        <v>262</v>
      </c>
      <c r="E242" s="77" t="s">
        <v>271</v>
      </c>
      <c r="F242" s="78" t="s">
        <v>209</v>
      </c>
      <c r="G242" s="96"/>
      <c r="H242" s="75"/>
      <c r="I242" s="75"/>
      <c r="J242" s="96"/>
      <c r="K242" s="287"/>
      <c r="L242" s="313"/>
      <c r="M242" s="75"/>
      <c r="N242" s="96"/>
      <c r="O242" s="96"/>
      <c r="P242" s="287"/>
      <c r="Q242" s="474"/>
      <c r="R242" s="449"/>
      <c r="S242" s="465" t="e">
        <f t="shared" si="55"/>
        <v>#DIV/0!</v>
      </c>
    </row>
    <row r="243" spans="1:19" s="1" customFormat="1" ht="2.25" customHeight="1" hidden="1">
      <c r="A243" s="46" t="s">
        <v>227</v>
      </c>
      <c r="B243" s="71" t="s">
        <v>202</v>
      </c>
      <c r="C243" s="76" t="s">
        <v>198</v>
      </c>
      <c r="D243" s="76" t="s">
        <v>262</v>
      </c>
      <c r="E243" s="77" t="s">
        <v>271</v>
      </c>
      <c r="F243" s="78" t="s">
        <v>209</v>
      </c>
      <c r="G243" s="96"/>
      <c r="H243" s="75"/>
      <c r="I243" s="75"/>
      <c r="J243" s="96"/>
      <c r="K243" s="287"/>
      <c r="L243" s="313"/>
      <c r="M243" s="75"/>
      <c r="N243" s="96"/>
      <c r="O243" s="96"/>
      <c r="P243" s="287"/>
      <c r="Q243" s="474"/>
      <c r="R243" s="449"/>
      <c r="S243" s="465" t="e">
        <f t="shared" si="55"/>
        <v>#DIV/0!</v>
      </c>
    </row>
    <row r="244" spans="1:19" ht="2.25" customHeight="1" hidden="1">
      <c r="A244" s="46" t="s">
        <v>242</v>
      </c>
      <c r="B244" s="71" t="s">
        <v>202</v>
      </c>
      <c r="C244" s="76" t="s">
        <v>198</v>
      </c>
      <c r="D244" s="76" t="s">
        <v>262</v>
      </c>
      <c r="E244" s="77" t="s">
        <v>271</v>
      </c>
      <c r="F244" s="78" t="s">
        <v>209</v>
      </c>
      <c r="G244" s="96"/>
      <c r="H244" s="75"/>
      <c r="I244" s="75"/>
      <c r="J244" s="96"/>
      <c r="K244" s="287"/>
      <c r="L244" s="313"/>
      <c r="M244" s="75"/>
      <c r="N244" s="96"/>
      <c r="O244" s="96"/>
      <c r="P244" s="287"/>
      <c r="Q244" s="474"/>
      <c r="R244" s="449"/>
      <c r="S244" s="465" t="e">
        <f t="shared" si="55"/>
        <v>#DIV/0!</v>
      </c>
    </row>
    <row r="245" spans="1:19" ht="2.25" customHeight="1" hidden="1">
      <c r="A245" s="46"/>
      <c r="B245" s="71" t="s">
        <v>202</v>
      </c>
      <c r="C245" s="76" t="s">
        <v>198</v>
      </c>
      <c r="D245" s="76" t="s">
        <v>262</v>
      </c>
      <c r="E245" s="77" t="s">
        <v>271</v>
      </c>
      <c r="F245" s="78" t="s">
        <v>209</v>
      </c>
      <c r="G245" s="96"/>
      <c r="H245" s="75"/>
      <c r="I245" s="75"/>
      <c r="J245" s="96"/>
      <c r="K245" s="287"/>
      <c r="L245" s="313"/>
      <c r="M245" s="75"/>
      <c r="N245" s="96"/>
      <c r="O245" s="96"/>
      <c r="P245" s="287"/>
      <c r="Q245" s="474"/>
      <c r="R245" s="449"/>
      <c r="S245" s="465" t="e">
        <f t="shared" si="55"/>
        <v>#DIV/0!</v>
      </c>
    </row>
    <row r="246" spans="1:19" s="1" customFormat="1" ht="2.25" customHeight="1" hidden="1">
      <c r="A246" s="46" t="s">
        <v>226</v>
      </c>
      <c r="B246" s="71" t="s">
        <v>202</v>
      </c>
      <c r="C246" s="76" t="s">
        <v>198</v>
      </c>
      <c r="D246" s="76" t="s">
        <v>262</v>
      </c>
      <c r="E246" s="77" t="s">
        <v>271</v>
      </c>
      <c r="F246" s="78" t="s">
        <v>209</v>
      </c>
      <c r="G246" s="96"/>
      <c r="H246" s="75"/>
      <c r="I246" s="75"/>
      <c r="J246" s="96"/>
      <c r="K246" s="287"/>
      <c r="L246" s="313"/>
      <c r="M246" s="75"/>
      <c r="N246" s="96"/>
      <c r="O246" s="96"/>
      <c r="P246" s="287"/>
      <c r="Q246" s="474"/>
      <c r="R246" s="449"/>
      <c r="S246" s="465" t="e">
        <f t="shared" si="55"/>
        <v>#DIV/0!</v>
      </c>
    </row>
    <row r="247" spans="1:19" s="1" customFormat="1" ht="2.25" customHeight="1" hidden="1">
      <c r="A247" s="46" t="s">
        <v>228</v>
      </c>
      <c r="B247" s="71" t="s">
        <v>202</v>
      </c>
      <c r="C247" s="76" t="s">
        <v>198</v>
      </c>
      <c r="D247" s="76" t="s">
        <v>262</v>
      </c>
      <c r="E247" s="77" t="s">
        <v>271</v>
      </c>
      <c r="F247" s="78" t="s">
        <v>209</v>
      </c>
      <c r="G247" s="96">
        <f>SUM(G248:G249)</f>
        <v>0</v>
      </c>
      <c r="H247" s="75">
        <f>SUM(H248:H249)</f>
        <v>0</v>
      </c>
      <c r="I247" s="75">
        <f>SUM(I248:I249)</f>
        <v>0</v>
      </c>
      <c r="J247" s="96">
        <f>SUM(J248:J249)</f>
        <v>0</v>
      </c>
      <c r="K247" s="287">
        <f>SUM(K248:K249)</f>
        <v>0</v>
      </c>
      <c r="L247" s="313"/>
      <c r="M247" s="75"/>
      <c r="N247" s="96"/>
      <c r="O247" s="96"/>
      <c r="P247" s="287"/>
      <c r="Q247" s="474"/>
      <c r="R247" s="449"/>
      <c r="S247" s="465" t="e">
        <f t="shared" si="55"/>
        <v>#DIV/0!</v>
      </c>
    </row>
    <row r="248" spans="1:19" s="1" customFormat="1" ht="2.25" customHeight="1" hidden="1">
      <c r="A248" s="46" t="s">
        <v>229</v>
      </c>
      <c r="B248" s="71" t="s">
        <v>202</v>
      </c>
      <c r="C248" s="76" t="s">
        <v>198</v>
      </c>
      <c r="D248" s="76" t="s">
        <v>262</v>
      </c>
      <c r="E248" s="77" t="s">
        <v>271</v>
      </c>
      <c r="F248" s="78" t="s">
        <v>209</v>
      </c>
      <c r="G248" s="96"/>
      <c r="H248" s="75"/>
      <c r="I248" s="75"/>
      <c r="J248" s="96"/>
      <c r="K248" s="287"/>
      <c r="L248" s="313"/>
      <c r="M248" s="75"/>
      <c r="N248" s="96"/>
      <c r="O248" s="96"/>
      <c r="P248" s="287"/>
      <c r="Q248" s="474"/>
      <c r="R248" s="449"/>
      <c r="S248" s="465" t="e">
        <f t="shared" si="55"/>
        <v>#DIV/0!</v>
      </c>
    </row>
    <row r="249" spans="1:19" s="1" customFormat="1" ht="2.25" customHeight="1" hidden="1">
      <c r="A249" s="108" t="s">
        <v>230</v>
      </c>
      <c r="B249" s="90" t="s">
        <v>202</v>
      </c>
      <c r="C249" s="91" t="s">
        <v>198</v>
      </c>
      <c r="D249" s="91" t="s">
        <v>262</v>
      </c>
      <c r="E249" s="92" t="s">
        <v>271</v>
      </c>
      <c r="F249" s="93" t="s">
        <v>209</v>
      </c>
      <c r="G249" s="96"/>
      <c r="H249" s="75"/>
      <c r="I249" s="75"/>
      <c r="J249" s="96"/>
      <c r="K249" s="287"/>
      <c r="L249" s="313"/>
      <c r="M249" s="75"/>
      <c r="N249" s="96"/>
      <c r="O249" s="96"/>
      <c r="P249" s="287"/>
      <c r="Q249" s="474"/>
      <c r="R249" s="449"/>
      <c r="S249" s="465" t="e">
        <f t="shared" si="55"/>
        <v>#DIV/0!</v>
      </c>
    </row>
    <row r="250" spans="1:19" s="1" customFormat="1" ht="15.75" customHeight="1">
      <c r="A250" s="193" t="s">
        <v>108</v>
      </c>
      <c r="B250" s="141" t="s">
        <v>202</v>
      </c>
      <c r="C250" s="76" t="s">
        <v>198</v>
      </c>
      <c r="D250" s="76" t="s">
        <v>262</v>
      </c>
      <c r="E250" s="77" t="s">
        <v>271</v>
      </c>
      <c r="F250" s="101" t="s">
        <v>105</v>
      </c>
      <c r="G250" s="89">
        <f>G251+G252</f>
        <v>978.8</v>
      </c>
      <c r="H250" s="82">
        <f>H251+H252</f>
        <v>978.8</v>
      </c>
      <c r="I250" s="82">
        <f>I251+I252</f>
        <v>978.8</v>
      </c>
      <c r="J250" s="89">
        <v>81.1</v>
      </c>
      <c r="K250" s="275">
        <v>1059.9</v>
      </c>
      <c r="L250" s="315">
        <v>-9.21</v>
      </c>
      <c r="M250" s="82"/>
      <c r="N250" s="89">
        <f>K250+L250+M250</f>
        <v>1050.69</v>
      </c>
      <c r="O250" s="89"/>
      <c r="P250" s="275">
        <v>14.4</v>
      </c>
      <c r="Q250" s="487">
        <f>N250+O250+P250</f>
        <v>1065.0900000000001</v>
      </c>
      <c r="R250" s="448">
        <v>823.48415</v>
      </c>
      <c r="S250" s="444">
        <f t="shared" si="55"/>
        <v>77.3159216592025</v>
      </c>
    </row>
    <row r="251" spans="1:19" s="1" customFormat="1" ht="12" customHeight="1" hidden="1">
      <c r="A251" s="29"/>
      <c r="B251" s="161"/>
      <c r="C251" s="100"/>
      <c r="D251" s="100"/>
      <c r="E251" s="110"/>
      <c r="F251" s="81" t="s">
        <v>215</v>
      </c>
      <c r="G251" s="102">
        <v>751.8</v>
      </c>
      <c r="H251" s="137">
        <v>751.8</v>
      </c>
      <c r="I251" s="137">
        <v>751.8</v>
      </c>
      <c r="J251" s="102">
        <v>751.8</v>
      </c>
      <c r="K251" s="275">
        <f>G251+J251</f>
        <v>1503.6</v>
      </c>
      <c r="L251" s="315"/>
      <c r="M251" s="82"/>
      <c r="N251" s="89"/>
      <c r="O251" s="89"/>
      <c r="P251" s="275"/>
      <c r="Q251" s="487"/>
      <c r="R251" s="448"/>
      <c r="S251" s="444" t="e">
        <f t="shared" si="55"/>
        <v>#DIV/0!</v>
      </c>
    </row>
    <row r="252" spans="1:19" s="1" customFormat="1" ht="16.5" customHeight="1" hidden="1">
      <c r="A252" s="46"/>
      <c r="B252" s="141"/>
      <c r="C252" s="76"/>
      <c r="D252" s="76"/>
      <c r="E252" s="77"/>
      <c r="F252" s="78" t="s">
        <v>217</v>
      </c>
      <c r="G252" s="89">
        <v>227</v>
      </c>
      <c r="H252" s="82">
        <v>227</v>
      </c>
      <c r="I252" s="82">
        <v>227</v>
      </c>
      <c r="J252" s="89">
        <v>227</v>
      </c>
      <c r="K252" s="275">
        <f>G252+J252</f>
        <v>454</v>
      </c>
      <c r="L252" s="315"/>
      <c r="M252" s="82"/>
      <c r="N252" s="89"/>
      <c r="O252" s="89"/>
      <c r="P252" s="275"/>
      <c r="Q252" s="487"/>
      <c r="R252" s="448"/>
      <c r="S252" s="444" t="e">
        <f t="shared" si="55"/>
        <v>#DIV/0!</v>
      </c>
    </row>
    <row r="253" spans="1:19" s="1" customFormat="1" ht="15.75" customHeight="1" thickBot="1">
      <c r="A253" s="192" t="s">
        <v>109</v>
      </c>
      <c r="B253" s="141" t="s">
        <v>202</v>
      </c>
      <c r="C253" s="76" t="s">
        <v>198</v>
      </c>
      <c r="D253" s="76" t="s">
        <v>262</v>
      </c>
      <c r="E253" s="77" t="s">
        <v>271</v>
      </c>
      <c r="F253" s="81" t="s">
        <v>106</v>
      </c>
      <c r="G253" s="89">
        <v>148.4</v>
      </c>
      <c r="H253" s="82">
        <v>148.4</v>
      </c>
      <c r="I253" s="82">
        <v>148.4</v>
      </c>
      <c r="J253" s="89"/>
      <c r="K253" s="275">
        <v>148.4</v>
      </c>
      <c r="L253" s="315">
        <v>9.21</v>
      </c>
      <c r="M253" s="82"/>
      <c r="N253" s="89">
        <f>K253+L253+M253</f>
        <v>157.61</v>
      </c>
      <c r="O253" s="89"/>
      <c r="P253" s="275">
        <v>2.2</v>
      </c>
      <c r="Q253" s="488">
        <f>N253+O253+P253</f>
        <v>159.81</v>
      </c>
      <c r="R253" s="489">
        <v>157.61</v>
      </c>
      <c r="S253" s="477">
        <f t="shared" si="55"/>
        <v>98.62336524622991</v>
      </c>
    </row>
    <row r="254" spans="1:19" s="1" customFormat="1" ht="2.25" customHeight="1" hidden="1" thickBot="1">
      <c r="A254" s="29"/>
      <c r="B254" s="30"/>
      <c r="C254" s="79"/>
      <c r="D254" s="79"/>
      <c r="E254" s="80"/>
      <c r="F254" s="81" t="s">
        <v>233</v>
      </c>
      <c r="G254" s="89"/>
      <c r="H254" s="82"/>
      <c r="I254" s="82"/>
      <c r="J254" s="89"/>
      <c r="K254" s="275"/>
      <c r="L254" s="315"/>
      <c r="M254" s="82"/>
      <c r="N254" s="89"/>
      <c r="O254" s="89"/>
      <c r="P254" s="275"/>
      <c r="Q254" s="485"/>
      <c r="R254" s="485"/>
      <c r="S254" s="481" t="e">
        <f t="shared" si="55"/>
        <v>#DIV/0!</v>
      </c>
    </row>
    <row r="255" spans="1:19" s="1" customFormat="1" ht="13.5" hidden="1" thickBot="1">
      <c r="A255" s="29"/>
      <c r="B255" s="71"/>
      <c r="C255" s="76"/>
      <c r="D255" s="76"/>
      <c r="E255" s="77"/>
      <c r="F255" s="78" t="s">
        <v>244</v>
      </c>
      <c r="G255" s="89"/>
      <c r="H255" s="82"/>
      <c r="I255" s="82"/>
      <c r="J255" s="89"/>
      <c r="K255" s="275"/>
      <c r="L255" s="315"/>
      <c r="M255" s="82"/>
      <c r="N255" s="89"/>
      <c r="O255" s="89"/>
      <c r="P255" s="275"/>
      <c r="Q255" s="448"/>
      <c r="R255" s="448"/>
      <c r="S255" s="465" t="e">
        <f t="shared" si="55"/>
        <v>#DIV/0!</v>
      </c>
    </row>
    <row r="256" spans="1:19" s="1" customFormat="1" ht="13.5" hidden="1" thickBot="1">
      <c r="A256" s="29"/>
      <c r="B256" s="30"/>
      <c r="C256" s="79"/>
      <c r="D256" s="79"/>
      <c r="E256" s="80"/>
      <c r="F256" s="81" t="s">
        <v>236</v>
      </c>
      <c r="G256" s="89"/>
      <c r="H256" s="82"/>
      <c r="I256" s="82"/>
      <c r="J256" s="89"/>
      <c r="K256" s="275"/>
      <c r="L256" s="315"/>
      <c r="M256" s="82"/>
      <c r="N256" s="89"/>
      <c r="O256" s="89"/>
      <c r="P256" s="275"/>
      <c r="Q256" s="448"/>
      <c r="R256" s="448"/>
      <c r="S256" s="465" t="e">
        <f t="shared" si="55"/>
        <v>#DIV/0!</v>
      </c>
    </row>
    <row r="257" spans="1:19" s="1" customFormat="1" ht="13.5" hidden="1" thickBot="1">
      <c r="A257" s="46"/>
      <c r="B257" s="71"/>
      <c r="C257" s="76"/>
      <c r="D257" s="76"/>
      <c r="E257" s="77"/>
      <c r="F257" s="78" t="s">
        <v>238</v>
      </c>
      <c r="G257" s="89"/>
      <c r="H257" s="82"/>
      <c r="I257" s="82"/>
      <c r="J257" s="89"/>
      <c r="K257" s="275"/>
      <c r="L257" s="315"/>
      <c r="M257" s="82"/>
      <c r="N257" s="89"/>
      <c r="O257" s="89"/>
      <c r="P257" s="275"/>
      <c r="Q257" s="448"/>
      <c r="R257" s="448"/>
      <c r="S257" s="465" t="e">
        <f t="shared" si="55"/>
        <v>#DIV/0!</v>
      </c>
    </row>
    <row r="258" spans="1:19" s="1" customFormat="1" ht="13.5" hidden="1" thickBot="1">
      <c r="A258" s="62"/>
      <c r="B258" s="53"/>
      <c r="C258" s="84"/>
      <c r="D258" s="84"/>
      <c r="E258" s="85"/>
      <c r="F258" s="86" t="s">
        <v>239</v>
      </c>
      <c r="G258" s="94"/>
      <c r="H258" s="87"/>
      <c r="I258" s="87"/>
      <c r="J258" s="94"/>
      <c r="K258" s="291"/>
      <c r="L258" s="315"/>
      <c r="M258" s="82"/>
      <c r="N258" s="89"/>
      <c r="O258" s="89"/>
      <c r="P258" s="275"/>
      <c r="Q258" s="448"/>
      <c r="R258" s="448"/>
      <c r="S258" s="465" t="e">
        <f t="shared" si="55"/>
        <v>#DIV/0!</v>
      </c>
    </row>
    <row r="259" spans="1:19" s="1" customFormat="1" ht="38.25">
      <c r="A259" s="123" t="s">
        <v>272</v>
      </c>
      <c r="B259" s="66" t="s">
        <v>202</v>
      </c>
      <c r="C259" s="67" t="s">
        <v>198</v>
      </c>
      <c r="D259" s="67" t="s">
        <v>262</v>
      </c>
      <c r="E259" s="68" t="s">
        <v>273</v>
      </c>
      <c r="F259" s="69"/>
      <c r="G259" s="200">
        <f>G261</f>
        <v>409.59999999999997</v>
      </c>
      <c r="H259" s="70">
        <f>H261</f>
        <v>440.7</v>
      </c>
      <c r="I259" s="70">
        <f>I261</f>
        <v>468.90000000000003</v>
      </c>
      <c r="J259" s="200">
        <f>J261</f>
        <v>29.4</v>
      </c>
      <c r="K259" s="286">
        <f aca="true" t="shared" si="58" ref="K259:Q259">K317+K320</f>
        <v>439</v>
      </c>
      <c r="L259" s="286">
        <f t="shared" si="58"/>
        <v>0</v>
      </c>
      <c r="M259" s="286">
        <f t="shared" si="58"/>
        <v>0</v>
      </c>
      <c r="N259" s="286">
        <f t="shared" si="58"/>
        <v>439</v>
      </c>
      <c r="O259" s="286">
        <f t="shared" si="58"/>
        <v>0</v>
      </c>
      <c r="P259" s="286">
        <f t="shared" si="58"/>
        <v>6</v>
      </c>
      <c r="Q259" s="449">
        <f t="shared" si="58"/>
        <v>445</v>
      </c>
      <c r="R259" s="449">
        <f>R317+R320</f>
        <v>415.79236000000003</v>
      </c>
      <c r="S259" s="465">
        <f t="shared" si="55"/>
        <v>93.43648539325844</v>
      </c>
    </row>
    <row r="260" spans="1:19" s="1" customFormat="1" ht="12.75" hidden="1">
      <c r="A260" s="29" t="s">
        <v>220</v>
      </c>
      <c r="B260" s="30" t="s">
        <v>202</v>
      </c>
      <c r="C260" s="79" t="s">
        <v>198</v>
      </c>
      <c r="D260" s="79" t="s">
        <v>262</v>
      </c>
      <c r="E260" s="80" t="s">
        <v>273</v>
      </c>
      <c r="F260" s="81" t="s">
        <v>201</v>
      </c>
      <c r="G260" s="97">
        <f>G261</f>
        <v>409.59999999999997</v>
      </c>
      <c r="H260" s="111">
        <f>H261</f>
        <v>440.7</v>
      </c>
      <c r="I260" s="111">
        <f>I261</f>
        <v>468.90000000000003</v>
      </c>
      <c r="J260" s="97">
        <f>J261</f>
        <v>29.4</v>
      </c>
      <c r="K260" s="269">
        <f>K261</f>
        <v>439</v>
      </c>
      <c r="L260" s="315"/>
      <c r="M260" s="82"/>
      <c r="N260" s="89"/>
      <c r="O260" s="89"/>
      <c r="P260" s="275"/>
      <c r="Q260" s="448"/>
      <c r="R260" s="448"/>
      <c r="S260" s="465" t="e">
        <f t="shared" si="55"/>
        <v>#DIV/0!</v>
      </c>
    </row>
    <row r="261" spans="1:19" s="1" customFormat="1" ht="15" customHeight="1" hidden="1">
      <c r="A261" s="65" t="s">
        <v>208</v>
      </c>
      <c r="B261" s="66" t="s">
        <v>202</v>
      </c>
      <c r="C261" s="125" t="s">
        <v>198</v>
      </c>
      <c r="D261" s="125" t="s">
        <v>262</v>
      </c>
      <c r="E261" s="126" t="s">
        <v>273</v>
      </c>
      <c r="F261" s="127" t="s">
        <v>201</v>
      </c>
      <c r="G261" s="204">
        <f>G317+G320</f>
        <v>409.59999999999997</v>
      </c>
      <c r="H261" s="128">
        <f>H317+H320</f>
        <v>440.7</v>
      </c>
      <c r="I261" s="128">
        <f>I317+I320</f>
        <v>468.90000000000003</v>
      </c>
      <c r="J261" s="204">
        <f>J317+J320</f>
        <v>29.4</v>
      </c>
      <c r="K261" s="292">
        <f>K317+K320</f>
        <v>439</v>
      </c>
      <c r="L261" s="315"/>
      <c r="M261" s="82"/>
      <c r="N261" s="89"/>
      <c r="O261" s="89"/>
      <c r="P261" s="275"/>
      <c r="Q261" s="448"/>
      <c r="R261" s="448"/>
      <c r="S261" s="465" t="e">
        <f t="shared" si="55"/>
        <v>#DIV/0!</v>
      </c>
    </row>
    <row r="262" spans="1:19" s="1" customFormat="1" ht="0.75" customHeight="1" hidden="1">
      <c r="A262" s="46" t="s">
        <v>210</v>
      </c>
      <c r="B262" s="71" t="s">
        <v>202</v>
      </c>
      <c r="C262" s="76" t="s">
        <v>198</v>
      </c>
      <c r="D262" s="76" t="s">
        <v>262</v>
      </c>
      <c r="E262" s="77" t="s">
        <v>273</v>
      </c>
      <c r="F262" s="78" t="s">
        <v>209</v>
      </c>
      <c r="G262" s="96">
        <f>G263+G267</f>
        <v>0</v>
      </c>
      <c r="H262" s="75">
        <f>H263+H267</f>
        <v>0</v>
      </c>
      <c r="I262" s="75">
        <f>I263+I267</f>
        <v>0</v>
      </c>
      <c r="J262" s="96">
        <f>J263+J267</f>
        <v>0</v>
      </c>
      <c r="K262" s="287">
        <f>K263+K267</f>
        <v>0</v>
      </c>
      <c r="L262" s="313"/>
      <c r="M262" s="75"/>
      <c r="N262" s="96"/>
      <c r="O262" s="96"/>
      <c r="P262" s="287"/>
      <c r="Q262" s="449"/>
      <c r="R262" s="449"/>
      <c r="S262" s="465" t="e">
        <f t="shared" si="55"/>
        <v>#DIV/0!</v>
      </c>
    </row>
    <row r="263" spans="1:19" s="1" customFormat="1" ht="0.75" customHeight="1" hidden="1">
      <c r="A263" s="46" t="s">
        <v>222</v>
      </c>
      <c r="B263" s="71" t="s">
        <v>202</v>
      </c>
      <c r="C263" s="76" t="s">
        <v>198</v>
      </c>
      <c r="D263" s="76" t="s">
        <v>262</v>
      </c>
      <c r="E263" s="77" t="s">
        <v>273</v>
      </c>
      <c r="F263" s="78" t="s">
        <v>209</v>
      </c>
      <c r="G263" s="96">
        <f>SUM(G264:G266)</f>
        <v>0</v>
      </c>
      <c r="H263" s="75">
        <f>SUM(H264:H266)</f>
        <v>0</v>
      </c>
      <c r="I263" s="75">
        <f>SUM(I264:I266)</f>
        <v>0</v>
      </c>
      <c r="J263" s="96">
        <f>SUM(J264:J266)</f>
        <v>0</v>
      </c>
      <c r="K263" s="287">
        <f>SUM(K264:K266)</f>
        <v>0</v>
      </c>
      <c r="L263" s="313"/>
      <c r="M263" s="75"/>
      <c r="N263" s="96"/>
      <c r="O263" s="96"/>
      <c r="P263" s="287"/>
      <c r="Q263" s="449"/>
      <c r="R263" s="449"/>
      <c r="S263" s="465" t="e">
        <f t="shared" si="55"/>
        <v>#DIV/0!</v>
      </c>
    </row>
    <row r="264" spans="1:19" s="1" customFormat="1" ht="0.75" customHeight="1" hidden="1">
      <c r="A264" s="46" t="s">
        <v>212</v>
      </c>
      <c r="B264" s="71" t="s">
        <v>202</v>
      </c>
      <c r="C264" s="76" t="s">
        <v>198</v>
      </c>
      <c r="D264" s="76" t="s">
        <v>262</v>
      </c>
      <c r="E264" s="77" t="s">
        <v>273</v>
      </c>
      <c r="F264" s="78" t="s">
        <v>209</v>
      </c>
      <c r="G264" s="96"/>
      <c r="H264" s="75"/>
      <c r="I264" s="75"/>
      <c r="J264" s="96"/>
      <c r="K264" s="287"/>
      <c r="L264" s="313"/>
      <c r="M264" s="75"/>
      <c r="N264" s="96"/>
      <c r="O264" s="96"/>
      <c r="P264" s="287"/>
      <c r="Q264" s="449"/>
      <c r="R264" s="449"/>
      <c r="S264" s="465" t="e">
        <f t="shared" si="55"/>
        <v>#DIV/0!</v>
      </c>
    </row>
    <row r="265" spans="1:19" s="1" customFormat="1" ht="0.75" customHeight="1" hidden="1">
      <c r="A265" s="46" t="s">
        <v>213</v>
      </c>
      <c r="B265" s="71" t="s">
        <v>202</v>
      </c>
      <c r="C265" s="76" t="s">
        <v>198</v>
      </c>
      <c r="D265" s="76" t="s">
        <v>262</v>
      </c>
      <c r="E265" s="77" t="s">
        <v>273</v>
      </c>
      <c r="F265" s="78" t="s">
        <v>209</v>
      </c>
      <c r="G265" s="96"/>
      <c r="H265" s="75"/>
      <c r="I265" s="75"/>
      <c r="J265" s="96"/>
      <c r="K265" s="287"/>
      <c r="L265" s="313"/>
      <c r="M265" s="75"/>
      <c r="N265" s="96"/>
      <c r="O265" s="96"/>
      <c r="P265" s="287"/>
      <c r="Q265" s="449"/>
      <c r="R265" s="449"/>
      <c r="S265" s="465" t="e">
        <f t="shared" si="55"/>
        <v>#DIV/0!</v>
      </c>
    </row>
    <row r="266" spans="1:19" s="1" customFormat="1" ht="0.75" customHeight="1" hidden="1">
      <c r="A266" s="46" t="s">
        <v>214</v>
      </c>
      <c r="B266" s="71" t="s">
        <v>202</v>
      </c>
      <c r="C266" s="76" t="s">
        <v>198</v>
      </c>
      <c r="D266" s="76" t="s">
        <v>262</v>
      </c>
      <c r="E266" s="77" t="s">
        <v>273</v>
      </c>
      <c r="F266" s="78" t="s">
        <v>209</v>
      </c>
      <c r="G266" s="96"/>
      <c r="H266" s="75"/>
      <c r="I266" s="75"/>
      <c r="J266" s="96"/>
      <c r="K266" s="287"/>
      <c r="L266" s="313"/>
      <c r="M266" s="75"/>
      <c r="N266" s="96"/>
      <c r="O266" s="96"/>
      <c r="P266" s="287"/>
      <c r="Q266" s="449"/>
      <c r="R266" s="449"/>
      <c r="S266" s="465" t="e">
        <f t="shared" si="55"/>
        <v>#DIV/0!</v>
      </c>
    </row>
    <row r="267" spans="1:19" s="1" customFormat="1" ht="0.75" customHeight="1" hidden="1">
      <c r="A267" s="46" t="s">
        <v>222</v>
      </c>
      <c r="B267" s="71" t="s">
        <v>202</v>
      </c>
      <c r="C267" s="76" t="s">
        <v>198</v>
      </c>
      <c r="D267" s="76" t="s">
        <v>262</v>
      </c>
      <c r="E267" s="77" t="s">
        <v>273</v>
      </c>
      <c r="F267" s="78" t="s">
        <v>209</v>
      </c>
      <c r="G267" s="96"/>
      <c r="H267" s="75"/>
      <c r="I267" s="75"/>
      <c r="J267" s="96"/>
      <c r="K267" s="287"/>
      <c r="L267" s="313"/>
      <c r="M267" s="75"/>
      <c r="N267" s="96"/>
      <c r="O267" s="96"/>
      <c r="P267" s="287"/>
      <c r="Q267" s="449"/>
      <c r="R267" s="449"/>
      <c r="S267" s="465" t="e">
        <f t="shared" si="55"/>
        <v>#DIV/0!</v>
      </c>
    </row>
    <row r="268" spans="1:19" s="1" customFormat="1" ht="0.75" customHeight="1" hidden="1">
      <c r="A268" s="46" t="s">
        <v>223</v>
      </c>
      <c r="B268" s="71" t="s">
        <v>202</v>
      </c>
      <c r="C268" s="76" t="s">
        <v>198</v>
      </c>
      <c r="D268" s="76" t="s">
        <v>262</v>
      </c>
      <c r="E268" s="77" t="s">
        <v>273</v>
      </c>
      <c r="F268" s="78" t="s">
        <v>209</v>
      </c>
      <c r="G268" s="96"/>
      <c r="H268" s="75"/>
      <c r="I268" s="75"/>
      <c r="J268" s="96"/>
      <c r="K268" s="287"/>
      <c r="L268" s="313"/>
      <c r="M268" s="75"/>
      <c r="N268" s="96"/>
      <c r="O268" s="96"/>
      <c r="P268" s="287"/>
      <c r="Q268" s="449"/>
      <c r="R268" s="449"/>
      <c r="S268" s="465" t="e">
        <f t="shared" si="55"/>
        <v>#DIV/0!</v>
      </c>
    </row>
    <row r="269" spans="1:19" s="1" customFormat="1" ht="0.75" customHeight="1" hidden="1">
      <c r="A269" s="46" t="s">
        <v>242</v>
      </c>
      <c r="B269" s="71" t="s">
        <v>202</v>
      </c>
      <c r="C269" s="76" t="s">
        <v>198</v>
      </c>
      <c r="D269" s="76" t="s">
        <v>262</v>
      </c>
      <c r="E269" s="77" t="s">
        <v>273</v>
      </c>
      <c r="F269" s="78" t="s">
        <v>209</v>
      </c>
      <c r="G269" s="96"/>
      <c r="H269" s="75"/>
      <c r="I269" s="75"/>
      <c r="J269" s="96"/>
      <c r="K269" s="287"/>
      <c r="L269" s="313"/>
      <c r="M269" s="75"/>
      <c r="N269" s="96"/>
      <c r="O269" s="96"/>
      <c r="P269" s="287"/>
      <c r="Q269" s="449"/>
      <c r="R269" s="449"/>
      <c r="S269" s="465" t="e">
        <f t="shared" si="55"/>
        <v>#DIV/0!</v>
      </c>
    </row>
    <row r="270" spans="1:19" s="1" customFormat="1" ht="0.75" customHeight="1" hidden="1">
      <c r="A270" s="46" t="s">
        <v>226</v>
      </c>
      <c r="B270" s="71" t="s">
        <v>202</v>
      </c>
      <c r="C270" s="76" t="s">
        <v>198</v>
      </c>
      <c r="D270" s="76" t="s">
        <v>262</v>
      </c>
      <c r="E270" s="77" t="s">
        <v>273</v>
      </c>
      <c r="F270" s="78" t="s">
        <v>209</v>
      </c>
      <c r="G270" s="96"/>
      <c r="H270" s="75"/>
      <c r="I270" s="75"/>
      <c r="J270" s="96"/>
      <c r="K270" s="287"/>
      <c r="L270" s="313"/>
      <c r="M270" s="75"/>
      <c r="N270" s="96"/>
      <c r="O270" s="96"/>
      <c r="P270" s="287"/>
      <c r="Q270" s="449"/>
      <c r="R270" s="449"/>
      <c r="S270" s="465" t="e">
        <f t="shared" si="55"/>
        <v>#DIV/0!</v>
      </c>
    </row>
    <row r="271" spans="1:19" s="1" customFormat="1" ht="0.75" customHeight="1" hidden="1">
      <c r="A271" s="46" t="s">
        <v>228</v>
      </c>
      <c r="B271" s="71" t="s">
        <v>202</v>
      </c>
      <c r="C271" s="76" t="s">
        <v>198</v>
      </c>
      <c r="D271" s="76" t="s">
        <v>262</v>
      </c>
      <c r="E271" s="77" t="s">
        <v>273</v>
      </c>
      <c r="F271" s="78" t="s">
        <v>209</v>
      </c>
      <c r="G271" s="96">
        <f>SUM(G272:G273)</f>
        <v>0</v>
      </c>
      <c r="H271" s="75">
        <f>SUM(H272:H273)</f>
        <v>0</v>
      </c>
      <c r="I271" s="75">
        <f>SUM(I272:I273)</f>
        <v>0</v>
      </c>
      <c r="J271" s="96">
        <f>SUM(J272:J273)</f>
        <v>0</v>
      </c>
      <c r="K271" s="287">
        <f>SUM(K272:K273)</f>
        <v>0</v>
      </c>
      <c r="L271" s="313"/>
      <c r="M271" s="75"/>
      <c r="N271" s="96"/>
      <c r="O271" s="96"/>
      <c r="P271" s="287"/>
      <c r="Q271" s="449"/>
      <c r="R271" s="449"/>
      <c r="S271" s="465" t="e">
        <f aca="true" t="shared" si="59" ref="S271:S334">R271/Q271*100</f>
        <v>#DIV/0!</v>
      </c>
    </row>
    <row r="272" spans="1:19" s="1" customFormat="1" ht="0.75" customHeight="1" hidden="1">
      <c r="A272" s="46" t="s">
        <v>229</v>
      </c>
      <c r="B272" s="71" t="s">
        <v>202</v>
      </c>
      <c r="C272" s="76" t="s">
        <v>198</v>
      </c>
      <c r="D272" s="76" t="s">
        <v>262</v>
      </c>
      <c r="E272" s="77" t="s">
        <v>273</v>
      </c>
      <c r="F272" s="78" t="s">
        <v>209</v>
      </c>
      <c r="G272" s="96"/>
      <c r="H272" s="75"/>
      <c r="I272" s="75"/>
      <c r="J272" s="96"/>
      <c r="K272" s="287"/>
      <c r="L272" s="313"/>
      <c r="M272" s="75"/>
      <c r="N272" s="96"/>
      <c r="O272" s="96"/>
      <c r="P272" s="287"/>
      <c r="Q272" s="449"/>
      <c r="R272" s="449"/>
      <c r="S272" s="465" t="e">
        <f t="shared" si="59"/>
        <v>#DIV/0!</v>
      </c>
    </row>
    <row r="273" spans="1:19" s="1" customFormat="1" ht="0.75" customHeight="1" hidden="1">
      <c r="A273" s="46" t="s">
        <v>230</v>
      </c>
      <c r="B273" s="71" t="s">
        <v>202</v>
      </c>
      <c r="C273" s="76" t="s">
        <v>198</v>
      </c>
      <c r="D273" s="76" t="s">
        <v>262</v>
      </c>
      <c r="E273" s="77" t="s">
        <v>273</v>
      </c>
      <c r="F273" s="78" t="s">
        <v>209</v>
      </c>
      <c r="G273" s="96"/>
      <c r="H273" s="75"/>
      <c r="I273" s="75"/>
      <c r="J273" s="96"/>
      <c r="K273" s="287"/>
      <c r="L273" s="313"/>
      <c r="M273" s="75"/>
      <c r="N273" s="96"/>
      <c r="O273" s="96"/>
      <c r="P273" s="287"/>
      <c r="Q273" s="449"/>
      <c r="R273" s="449"/>
      <c r="S273" s="465" t="e">
        <f t="shared" si="59"/>
        <v>#DIV/0!</v>
      </c>
    </row>
    <row r="274" spans="1:19" s="1" customFormat="1" ht="25.5" hidden="1">
      <c r="A274" s="45" t="s">
        <v>274</v>
      </c>
      <c r="B274" s="71" t="s">
        <v>202</v>
      </c>
      <c r="C274" s="72" t="s">
        <v>198</v>
      </c>
      <c r="D274" s="76" t="s">
        <v>262</v>
      </c>
      <c r="E274" s="72" t="s">
        <v>275</v>
      </c>
      <c r="F274" s="74" t="s">
        <v>201</v>
      </c>
      <c r="G274" s="96">
        <f aca="true" t="shared" si="60" ref="G274:K275">G275</f>
        <v>0</v>
      </c>
      <c r="H274" s="75">
        <f t="shared" si="60"/>
        <v>0</v>
      </c>
      <c r="I274" s="75">
        <f t="shared" si="60"/>
        <v>0</v>
      </c>
      <c r="J274" s="96">
        <f t="shared" si="60"/>
        <v>0</v>
      </c>
      <c r="K274" s="287">
        <f t="shared" si="60"/>
        <v>0</v>
      </c>
      <c r="L274" s="313"/>
      <c r="M274" s="75"/>
      <c r="N274" s="96"/>
      <c r="O274" s="96"/>
      <c r="P274" s="287"/>
      <c r="Q274" s="449"/>
      <c r="R274" s="449"/>
      <c r="S274" s="465" t="e">
        <f t="shared" si="59"/>
        <v>#DIV/0!</v>
      </c>
    </row>
    <row r="275" spans="1:19" s="1" customFormat="1" ht="19.5" customHeight="1" hidden="1">
      <c r="A275" s="45" t="s">
        <v>276</v>
      </c>
      <c r="B275" s="71" t="s">
        <v>202</v>
      </c>
      <c r="C275" s="76" t="s">
        <v>198</v>
      </c>
      <c r="D275" s="76" t="s">
        <v>262</v>
      </c>
      <c r="E275" s="76" t="s">
        <v>277</v>
      </c>
      <c r="F275" s="78" t="s">
        <v>201</v>
      </c>
      <c r="G275" s="96">
        <f t="shared" si="60"/>
        <v>0</v>
      </c>
      <c r="H275" s="75">
        <f t="shared" si="60"/>
        <v>0</v>
      </c>
      <c r="I275" s="75">
        <f t="shared" si="60"/>
        <v>0</v>
      </c>
      <c r="J275" s="96">
        <f t="shared" si="60"/>
        <v>0</v>
      </c>
      <c r="K275" s="287">
        <f t="shared" si="60"/>
        <v>0</v>
      </c>
      <c r="L275" s="313"/>
      <c r="M275" s="75"/>
      <c r="N275" s="96"/>
      <c r="O275" s="96"/>
      <c r="P275" s="287"/>
      <c r="Q275" s="449"/>
      <c r="R275" s="449"/>
      <c r="S275" s="465" t="e">
        <f t="shared" si="59"/>
        <v>#DIV/0!</v>
      </c>
    </row>
    <row r="276" spans="1:19" s="1" customFormat="1" ht="12.75" hidden="1">
      <c r="A276" s="46" t="s">
        <v>208</v>
      </c>
      <c r="B276" s="71" t="s">
        <v>202</v>
      </c>
      <c r="C276" s="76" t="s">
        <v>198</v>
      </c>
      <c r="D276" s="76" t="s">
        <v>262</v>
      </c>
      <c r="E276" s="76" t="s">
        <v>277</v>
      </c>
      <c r="F276" s="78" t="s">
        <v>209</v>
      </c>
      <c r="G276" s="96">
        <v>0</v>
      </c>
      <c r="H276" s="75">
        <v>0</v>
      </c>
      <c r="I276" s="75">
        <v>0</v>
      </c>
      <c r="J276" s="96">
        <v>0</v>
      </c>
      <c r="K276" s="287">
        <v>0</v>
      </c>
      <c r="L276" s="313"/>
      <c r="M276" s="75"/>
      <c r="N276" s="96"/>
      <c r="O276" s="96"/>
      <c r="P276" s="287"/>
      <c r="Q276" s="449"/>
      <c r="R276" s="449"/>
      <c r="S276" s="465" t="e">
        <f t="shared" si="59"/>
        <v>#DIV/0!</v>
      </c>
    </row>
    <row r="277" spans="1:19" s="1" customFormat="1" ht="12.75" hidden="1">
      <c r="A277" s="46" t="s">
        <v>210</v>
      </c>
      <c r="B277" s="71" t="s">
        <v>202</v>
      </c>
      <c r="C277" s="76" t="s">
        <v>198</v>
      </c>
      <c r="D277" s="76" t="s">
        <v>262</v>
      </c>
      <c r="E277" s="76" t="s">
        <v>277</v>
      </c>
      <c r="F277" s="78" t="s">
        <v>209</v>
      </c>
      <c r="G277" s="96">
        <f>G278</f>
        <v>500</v>
      </c>
      <c r="H277" s="75">
        <f>H278</f>
        <v>500</v>
      </c>
      <c r="I277" s="75">
        <f>I278</f>
        <v>500</v>
      </c>
      <c r="J277" s="96">
        <f>J278</f>
        <v>500</v>
      </c>
      <c r="K277" s="287">
        <f>K278</f>
        <v>500</v>
      </c>
      <c r="L277" s="313"/>
      <c r="M277" s="75"/>
      <c r="N277" s="96"/>
      <c r="O277" s="96"/>
      <c r="P277" s="287"/>
      <c r="Q277" s="449"/>
      <c r="R277" s="449"/>
      <c r="S277" s="465" t="e">
        <f t="shared" si="59"/>
        <v>#DIV/0!</v>
      </c>
    </row>
    <row r="278" spans="1:19" s="1" customFormat="1" ht="12.75" hidden="1">
      <c r="A278" s="45" t="s">
        <v>278</v>
      </c>
      <c r="B278" s="71" t="s">
        <v>202</v>
      </c>
      <c r="C278" s="76" t="s">
        <v>198</v>
      </c>
      <c r="D278" s="76" t="s">
        <v>262</v>
      </c>
      <c r="E278" s="76" t="s">
        <v>277</v>
      </c>
      <c r="F278" s="78" t="s">
        <v>209</v>
      </c>
      <c r="G278" s="96">
        <f>SUM(G279:G280)</f>
        <v>500</v>
      </c>
      <c r="H278" s="75">
        <f>SUM(H279:H280)</f>
        <v>500</v>
      </c>
      <c r="I278" s="75">
        <f>SUM(I279:I280)</f>
        <v>500</v>
      </c>
      <c r="J278" s="96">
        <f>SUM(J279:J280)</f>
        <v>500</v>
      </c>
      <c r="K278" s="287">
        <f>SUM(K279:K280)</f>
        <v>500</v>
      </c>
      <c r="L278" s="313"/>
      <c r="M278" s="75"/>
      <c r="N278" s="96"/>
      <c r="O278" s="96"/>
      <c r="P278" s="287"/>
      <c r="Q278" s="449"/>
      <c r="R278" s="449"/>
      <c r="S278" s="465" t="e">
        <f t="shared" si="59"/>
        <v>#DIV/0!</v>
      </c>
    </row>
    <row r="279" spans="1:19" s="1" customFormat="1" ht="12.75" hidden="1">
      <c r="A279" s="45" t="s">
        <v>279</v>
      </c>
      <c r="B279" s="71" t="s">
        <v>202</v>
      </c>
      <c r="C279" s="76" t="s">
        <v>198</v>
      </c>
      <c r="D279" s="76" t="s">
        <v>262</v>
      </c>
      <c r="E279" s="76" t="s">
        <v>277</v>
      </c>
      <c r="F279" s="78" t="s">
        <v>209</v>
      </c>
      <c r="G279" s="96">
        <v>300</v>
      </c>
      <c r="H279" s="75">
        <v>300</v>
      </c>
      <c r="I279" s="75">
        <v>300</v>
      </c>
      <c r="J279" s="96">
        <v>300</v>
      </c>
      <c r="K279" s="287">
        <v>300</v>
      </c>
      <c r="L279" s="313"/>
      <c r="M279" s="75"/>
      <c r="N279" s="96"/>
      <c r="O279" s="96"/>
      <c r="P279" s="287"/>
      <c r="Q279" s="449"/>
      <c r="R279" s="449"/>
      <c r="S279" s="465" t="e">
        <f t="shared" si="59"/>
        <v>#DIV/0!</v>
      </c>
    </row>
    <row r="280" spans="1:19" s="1" customFormat="1" ht="12.75" hidden="1">
      <c r="A280" s="45" t="s">
        <v>279</v>
      </c>
      <c r="B280" s="44">
        <v>902</v>
      </c>
      <c r="C280" s="76" t="s">
        <v>198</v>
      </c>
      <c r="D280" s="76" t="s">
        <v>262</v>
      </c>
      <c r="E280" s="76" t="s">
        <v>277</v>
      </c>
      <c r="F280" s="78" t="s">
        <v>209</v>
      </c>
      <c r="G280" s="96">
        <v>200</v>
      </c>
      <c r="H280" s="75">
        <v>200</v>
      </c>
      <c r="I280" s="75">
        <v>200</v>
      </c>
      <c r="J280" s="96">
        <v>200</v>
      </c>
      <c r="K280" s="287">
        <v>200</v>
      </c>
      <c r="L280" s="313"/>
      <c r="M280" s="75"/>
      <c r="N280" s="96"/>
      <c r="O280" s="96"/>
      <c r="P280" s="287"/>
      <c r="Q280" s="449"/>
      <c r="R280" s="449"/>
      <c r="S280" s="465" t="e">
        <f t="shared" si="59"/>
        <v>#DIV/0!</v>
      </c>
    </row>
    <row r="281" spans="1:19" s="1" customFormat="1" ht="25.5" hidden="1">
      <c r="A281" s="46" t="s">
        <v>280</v>
      </c>
      <c r="B281" s="71" t="s">
        <v>202</v>
      </c>
      <c r="C281" s="72" t="s">
        <v>198</v>
      </c>
      <c r="D281" s="76" t="s">
        <v>262</v>
      </c>
      <c r="E281" s="73" t="s">
        <v>281</v>
      </c>
      <c r="F281" s="74" t="s">
        <v>201</v>
      </c>
      <c r="G281" s="96">
        <f aca="true" t="shared" si="61" ref="G281:K282">G282</f>
        <v>0</v>
      </c>
      <c r="H281" s="75">
        <f t="shared" si="61"/>
        <v>0</v>
      </c>
      <c r="I281" s="75">
        <f t="shared" si="61"/>
        <v>0</v>
      </c>
      <c r="J281" s="96">
        <f t="shared" si="61"/>
        <v>0</v>
      </c>
      <c r="K281" s="287">
        <f t="shared" si="61"/>
        <v>0</v>
      </c>
      <c r="L281" s="313"/>
      <c r="M281" s="75"/>
      <c r="N281" s="96"/>
      <c r="O281" s="96"/>
      <c r="P281" s="287"/>
      <c r="Q281" s="449"/>
      <c r="R281" s="449"/>
      <c r="S281" s="465" t="e">
        <f t="shared" si="59"/>
        <v>#DIV/0!</v>
      </c>
    </row>
    <row r="282" spans="1:19" s="1" customFormat="1" ht="25.5" hidden="1">
      <c r="A282" s="46" t="s">
        <v>282</v>
      </c>
      <c r="B282" s="71" t="s">
        <v>202</v>
      </c>
      <c r="C282" s="76" t="s">
        <v>198</v>
      </c>
      <c r="D282" s="76" t="s">
        <v>262</v>
      </c>
      <c r="E282" s="77" t="s">
        <v>283</v>
      </c>
      <c r="F282" s="78" t="s">
        <v>201</v>
      </c>
      <c r="G282" s="96">
        <f t="shared" si="61"/>
        <v>0</v>
      </c>
      <c r="H282" s="75">
        <f t="shared" si="61"/>
        <v>0</v>
      </c>
      <c r="I282" s="75">
        <f t="shared" si="61"/>
        <v>0</v>
      </c>
      <c r="J282" s="96">
        <f t="shared" si="61"/>
        <v>0</v>
      </c>
      <c r="K282" s="287">
        <f t="shared" si="61"/>
        <v>0</v>
      </c>
      <c r="L282" s="313"/>
      <c r="M282" s="75"/>
      <c r="N282" s="96"/>
      <c r="O282" s="96"/>
      <c r="P282" s="287"/>
      <c r="Q282" s="449"/>
      <c r="R282" s="449"/>
      <c r="S282" s="465" t="e">
        <f t="shared" si="59"/>
        <v>#DIV/0!</v>
      </c>
    </row>
    <row r="283" spans="1:19" s="1" customFormat="1" ht="12.75" hidden="1">
      <c r="A283" s="46" t="s">
        <v>208</v>
      </c>
      <c r="B283" s="71" t="s">
        <v>202</v>
      </c>
      <c r="C283" s="76" t="s">
        <v>198</v>
      </c>
      <c r="D283" s="76" t="s">
        <v>262</v>
      </c>
      <c r="E283" s="77" t="s">
        <v>283</v>
      </c>
      <c r="F283" s="78" t="s">
        <v>209</v>
      </c>
      <c r="G283" s="96"/>
      <c r="H283" s="75"/>
      <c r="I283" s="75"/>
      <c r="J283" s="96"/>
      <c r="K283" s="287"/>
      <c r="L283" s="313"/>
      <c r="M283" s="75"/>
      <c r="N283" s="96"/>
      <c r="O283" s="96"/>
      <c r="P283" s="287"/>
      <c r="Q283" s="449"/>
      <c r="R283" s="449"/>
      <c r="S283" s="465" t="e">
        <f t="shared" si="59"/>
        <v>#DIV/0!</v>
      </c>
    </row>
    <row r="284" spans="1:19" s="1" customFormat="1" ht="0.75" customHeight="1" hidden="1">
      <c r="A284" s="46" t="s">
        <v>210</v>
      </c>
      <c r="B284" s="71" t="s">
        <v>202</v>
      </c>
      <c r="C284" s="76" t="s">
        <v>198</v>
      </c>
      <c r="D284" s="76" t="s">
        <v>262</v>
      </c>
      <c r="E284" s="77" t="s">
        <v>283</v>
      </c>
      <c r="F284" s="78" t="s">
        <v>209</v>
      </c>
      <c r="G284" s="96">
        <f>G285+G287</f>
        <v>0</v>
      </c>
      <c r="H284" s="75">
        <f>H285+H287</f>
        <v>0</v>
      </c>
      <c r="I284" s="75">
        <f>I285+I287</f>
        <v>0</v>
      </c>
      <c r="J284" s="96">
        <f>J285+J287</f>
        <v>0</v>
      </c>
      <c r="K284" s="287">
        <f>K285+K287</f>
        <v>0</v>
      </c>
      <c r="L284" s="313"/>
      <c r="M284" s="75"/>
      <c r="N284" s="96"/>
      <c r="O284" s="96"/>
      <c r="P284" s="287"/>
      <c r="Q284" s="449"/>
      <c r="R284" s="449"/>
      <c r="S284" s="465" t="e">
        <f t="shared" si="59"/>
        <v>#DIV/0!</v>
      </c>
    </row>
    <row r="285" spans="1:19" s="1" customFormat="1" ht="12.75" hidden="1">
      <c r="A285" s="45" t="s">
        <v>278</v>
      </c>
      <c r="B285" s="71" t="s">
        <v>202</v>
      </c>
      <c r="C285" s="76" t="s">
        <v>198</v>
      </c>
      <c r="D285" s="76" t="s">
        <v>262</v>
      </c>
      <c r="E285" s="77" t="s">
        <v>283</v>
      </c>
      <c r="F285" s="78" t="s">
        <v>209</v>
      </c>
      <c r="G285" s="96">
        <f>G286</f>
        <v>0</v>
      </c>
      <c r="H285" s="75">
        <f>H286</f>
        <v>0</v>
      </c>
      <c r="I285" s="75">
        <f>I286</f>
        <v>0</v>
      </c>
      <c r="J285" s="96">
        <f>J286</f>
        <v>0</v>
      </c>
      <c r="K285" s="287">
        <f>K286</f>
        <v>0</v>
      </c>
      <c r="L285" s="313"/>
      <c r="M285" s="75"/>
      <c r="N285" s="96"/>
      <c r="O285" s="96"/>
      <c r="P285" s="287"/>
      <c r="Q285" s="449"/>
      <c r="R285" s="449"/>
      <c r="S285" s="465" t="e">
        <f t="shared" si="59"/>
        <v>#DIV/0!</v>
      </c>
    </row>
    <row r="286" spans="1:19" s="1" customFormat="1" ht="12.75" customHeight="1" hidden="1">
      <c r="A286" s="46" t="s">
        <v>226</v>
      </c>
      <c r="B286" s="71" t="s">
        <v>202</v>
      </c>
      <c r="C286" s="76" t="s">
        <v>198</v>
      </c>
      <c r="D286" s="76" t="s">
        <v>262</v>
      </c>
      <c r="E286" s="77" t="s">
        <v>283</v>
      </c>
      <c r="F286" s="78" t="s">
        <v>209</v>
      </c>
      <c r="G286" s="96"/>
      <c r="H286" s="75"/>
      <c r="I286" s="75"/>
      <c r="J286" s="96"/>
      <c r="K286" s="287"/>
      <c r="L286" s="313"/>
      <c r="M286" s="75"/>
      <c r="N286" s="96"/>
      <c r="O286" s="96"/>
      <c r="P286" s="287"/>
      <c r="Q286" s="449"/>
      <c r="R286" s="449"/>
      <c r="S286" s="465" t="e">
        <f t="shared" si="59"/>
        <v>#DIV/0!</v>
      </c>
    </row>
    <row r="287" spans="1:19" s="1" customFormat="1" ht="12.75" hidden="1">
      <c r="A287" s="46" t="s">
        <v>227</v>
      </c>
      <c r="B287" s="71" t="s">
        <v>284</v>
      </c>
      <c r="C287" s="76" t="s">
        <v>198</v>
      </c>
      <c r="D287" s="76" t="s">
        <v>262</v>
      </c>
      <c r="E287" s="77" t="s">
        <v>283</v>
      </c>
      <c r="F287" s="78" t="s">
        <v>209</v>
      </c>
      <c r="G287" s="96"/>
      <c r="H287" s="75"/>
      <c r="I287" s="75"/>
      <c r="J287" s="96"/>
      <c r="K287" s="287"/>
      <c r="L287" s="313"/>
      <c r="M287" s="75"/>
      <c r="N287" s="96"/>
      <c r="O287" s="96"/>
      <c r="P287" s="287"/>
      <c r="Q287" s="449"/>
      <c r="R287" s="449"/>
      <c r="S287" s="465" t="e">
        <f t="shared" si="59"/>
        <v>#DIV/0!</v>
      </c>
    </row>
    <row r="288" spans="1:19" s="1" customFormat="1" ht="0.75" customHeight="1" hidden="1">
      <c r="A288" s="46" t="s">
        <v>285</v>
      </c>
      <c r="B288" s="71" t="s">
        <v>202</v>
      </c>
      <c r="C288" s="76" t="s">
        <v>198</v>
      </c>
      <c r="D288" s="76" t="s">
        <v>262</v>
      </c>
      <c r="E288" s="77" t="s">
        <v>286</v>
      </c>
      <c r="F288" s="78" t="s">
        <v>201</v>
      </c>
      <c r="G288" s="96">
        <f aca="true" t="shared" si="62" ref="G288:K289">G289</f>
        <v>0</v>
      </c>
      <c r="H288" s="75">
        <f t="shared" si="62"/>
        <v>0</v>
      </c>
      <c r="I288" s="75">
        <f t="shared" si="62"/>
        <v>0</v>
      </c>
      <c r="J288" s="96">
        <f t="shared" si="62"/>
        <v>0</v>
      </c>
      <c r="K288" s="287">
        <f t="shared" si="62"/>
        <v>0</v>
      </c>
      <c r="L288" s="313"/>
      <c r="M288" s="75"/>
      <c r="N288" s="96"/>
      <c r="O288" s="96"/>
      <c r="P288" s="287"/>
      <c r="Q288" s="449"/>
      <c r="R288" s="449"/>
      <c r="S288" s="465" t="e">
        <f t="shared" si="59"/>
        <v>#DIV/0!</v>
      </c>
    </row>
    <row r="289" spans="1:19" s="1" customFormat="1" ht="12.75" hidden="1">
      <c r="A289" s="46" t="s">
        <v>210</v>
      </c>
      <c r="B289" s="71" t="s">
        <v>202</v>
      </c>
      <c r="C289" s="76" t="s">
        <v>198</v>
      </c>
      <c r="D289" s="76" t="s">
        <v>262</v>
      </c>
      <c r="E289" s="77" t="s">
        <v>286</v>
      </c>
      <c r="F289" s="78" t="s">
        <v>209</v>
      </c>
      <c r="G289" s="96">
        <f t="shared" si="62"/>
        <v>0</v>
      </c>
      <c r="H289" s="75">
        <f t="shared" si="62"/>
        <v>0</v>
      </c>
      <c r="I289" s="75">
        <f t="shared" si="62"/>
        <v>0</v>
      </c>
      <c r="J289" s="96">
        <f t="shared" si="62"/>
        <v>0</v>
      </c>
      <c r="K289" s="287">
        <f t="shared" si="62"/>
        <v>0</v>
      </c>
      <c r="L289" s="313"/>
      <c r="M289" s="75"/>
      <c r="N289" s="96"/>
      <c r="O289" s="96"/>
      <c r="P289" s="287"/>
      <c r="Q289" s="449"/>
      <c r="R289" s="449"/>
      <c r="S289" s="465" t="e">
        <f t="shared" si="59"/>
        <v>#DIV/0!</v>
      </c>
    </row>
    <row r="290" spans="1:19" s="1" customFormat="1" ht="12.75" hidden="1">
      <c r="A290" s="45" t="s">
        <v>278</v>
      </c>
      <c r="B290" s="71" t="s">
        <v>202</v>
      </c>
      <c r="C290" s="76" t="s">
        <v>198</v>
      </c>
      <c r="D290" s="76" t="s">
        <v>262</v>
      </c>
      <c r="E290" s="77" t="s">
        <v>286</v>
      </c>
      <c r="F290" s="78" t="s">
        <v>209</v>
      </c>
      <c r="G290" s="96">
        <f>SUM(G291:G294)</f>
        <v>0</v>
      </c>
      <c r="H290" s="75">
        <f>SUM(H291:H294)</f>
        <v>0</v>
      </c>
      <c r="I290" s="75">
        <f>SUM(I291:I294)</f>
        <v>0</v>
      </c>
      <c r="J290" s="96">
        <f>SUM(J291:J294)</f>
        <v>0</v>
      </c>
      <c r="K290" s="287">
        <f>SUM(K291:K294)</f>
        <v>0</v>
      </c>
      <c r="L290" s="313"/>
      <c r="M290" s="75"/>
      <c r="N290" s="96"/>
      <c r="O290" s="96"/>
      <c r="P290" s="287"/>
      <c r="Q290" s="449"/>
      <c r="R290" s="449"/>
      <c r="S290" s="465" t="e">
        <f t="shared" si="59"/>
        <v>#DIV/0!</v>
      </c>
    </row>
    <row r="291" spans="1:19" s="1" customFormat="1" ht="12.75" hidden="1">
      <c r="A291" s="46" t="s">
        <v>223</v>
      </c>
      <c r="B291" s="71" t="s">
        <v>202</v>
      </c>
      <c r="C291" s="76" t="s">
        <v>198</v>
      </c>
      <c r="D291" s="76" t="s">
        <v>262</v>
      </c>
      <c r="E291" s="77" t="s">
        <v>286</v>
      </c>
      <c r="F291" s="78" t="s">
        <v>209</v>
      </c>
      <c r="G291" s="96"/>
      <c r="H291" s="75"/>
      <c r="I291" s="75"/>
      <c r="J291" s="96"/>
      <c r="K291" s="287"/>
      <c r="L291" s="313"/>
      <c r="M291" s="75"/>
      <c r="N291" s="96"/>
      <c r="O291" s="96"/>
      <c r="P291" s="287"/>
      <c r="Q291" s="449"/>
      <c r="R291" s="449"/>
      <c r="S291" s="465" t="e">
        <f t="shared" si="59"/>
        <v>#DIV/0!</v>
      </c>
    </row>
    <row r="292" spans="1:19" s="1" customFormat="1" ht="12.75" hidden="1">
      <c r="A292" s="46" t="s">
        <v>224</v>
      </c>
      <c r="B292" s="71" t="s">
        <v>202</v>
      </c>
      <c r="C292" s="76" t="s">
        <v>198</v>
      </c>
      <c r="D292" s="76" t="s">
        <v>262</v>
      </c>
      <c r="E292" s="77" t="s">
        <v>286</v>
      </c>
      <c r="F292" s="78" t="s">
        <v>209</v>
      </c>
      <c r="G292" s="96"/>
      <c r="H292" s="75"/>
      <c r="I292" s="75"/>
      <c r="J292" s="96"/>
      <c r="K292" s="287"/>
      <c r="L292" s="313"/>
      <c r="M292" s="75"/>
      <c r="N292" s="96"/>
      <c r="O292" s="96"/>
      <c r="P292" s="287"/>
      <c r="Q292" s="449"/>
      <c r="R292" s="449"/>
      <c r="S292" s="465" t="e">
        <f t="shared" si="59"/>
        <v>#DIV/0!</v>
      </c>
    </row>
    <row r="293" spans="1:19" s="1" customFormat="1" ht="12.75" hidden="1">
      <c r="A293" s="46" t="s">
        <v>243</v>
      </c>
      <c r="B293" s="71" t="s">
        <v>202</v>
      </c>
      <c r="C293" s="76" t="s">
        <v>198</v>
      </c>
      <c r="D293" s="76" t="s">
        <v>262</v>
      </c>
      <c r="E293" s="77" t="s">
        <v>286</v>
      </c>
      <c r="F293" s="78" t="s">
        <v>209</v>
      </c>
      <c r="G293" s="96"/>
      <c r="H293" s="75"/>
      <c r="I293" s="75"/>
      <c r="J293" s="96"/>
      <c r="K293" s="287"/>
      <c r="L293" s="313"/>
      <c r="M293" s="75"/>
      <c r="N293" s="96"/>
      <c r="O293" s="96"/>
      <c r="P293" s="287"/>
      <c r="Q293" s="449"/>
      <c r="R293" s="449"/>
      <c r="S293" s="465" t="e">
        <f t="shared" si="59"/>
        <v>#DIV/0!</v>
      </c>
    </row>
    <row r="294" spans="1:19" s="1" customFormat="1" ht="12.75" hidden="1">
      <c r="A294" s="46" t="s">
        <v>226</v>
      </c>
      <c r="B294" s="71" t="s">
        <v>202</v>
      </c>
      <c r="C294" s="76" t="s">
        <v>198</v>
      </c>
      <c r="D294" s="76" t="s">
        <v>262</v>
      </c>
      <c r="E294" s="77" t="s">
        <v>286</v>
      </c>
      <c r="F294" s="78" t="s">
        <v>209</v>
      </c>
      <c r="G294" s="96"/>
      <c r="H294" s="75"/>
      <c r="I294" s="75"/>
      <c r="J294" s="96"/>
      <c r="K294" s="287"/>
      <c r="L294" s="313"/>
      <c r="M294" s="75"/>
      <c r="N294" s="96"/>
      <c r="O294" s="96"/>
      <c r="P294" s="287"/>
      <c r="Q294" s="449"/>
      <c r="R294" s="449"/>
      <c r="S294" s="465" t="e">
        <f t="shared" si="59"/>
        <v>#DIV/0!</v>
      </c>
    </row>
    <row r="295" spans="1:19" s="1" customFormat="1" ht="15.75" customHeight="1" hidden="1">
      <c r="A295" s="46" t="s">
        <v>197</v>
      </c>
      <c r="B295" s="71"/>
      <c r="C295" s="72" t="s">
        <v>198</v>
      </c>
      <c r="D295" s="72" t="s">
        <v>199</v>
      </c>
      <c r="E295" s="73" t="s">
        <v>200</v>
      </c>
      <c r="F295" s="74" t="s">
        <v>201</v>
      </c>
      <c r="G295" s="96" t="e">
        <f>G296+G311+G314+G315</f>
        <v>#REF!</v>
      </c>
      <c r="H295" s="75" t="e">
        <f>H296+H311+H314+H315</f>
        <v>#REF!</v>
      </c>
      <c r="I295" s="75" t="e">
        <f>I296+I311+I314+I315</f>
        <v>#REF!</v>
      </c>
      <c r="J295" s="96" t="e">
        <f>J296+J311+J314+J315</f>
        <v>#REF!</v>
      </c>
      <c r="K295" s="287" t="e">
        <f>K296+K311+K314+K315</f>
        <v>#REF!</v>
      </c>
      <c r="L295" s="313"/>
      <c r="M295" s="75"/>
      <c r="N295" s="96"/>
      <c r="O295" s="96"/>
      <c r="P295" s="287"/>
      <c r="Q295" s="449"/>
      <c r="R295" s="449"/>
      <c r="S295" s="465" t="e">
        <f t="shared" si="59"/>
        <v>#DIV/0!</v>
      </c>
    </row>
    <row r="296" spans="1:19" s="1" customFormat="1" ht="11.25" customHeight="1" hidden="1">
      <c r="A296" s="46" t="s">
        <v>210</v>
      </c>
      <c r="B296" s="71"/>
      <c r="C296" s="72" t="s">
        <v>198</v>
      </c>
      <c r="D296" s="72" t="s">
        <v>199</v>
      </c>
      <c r="E296" s="73" t="s">
        <v>200</v>
      </c>
      <c r="F296" s="74" t="s">
        <v>201</v>
      </c>
      <c r="G296" s="96" t="e">
        <f>G297+G301+G308+G310</f>
        <v>#REF!</v>
      </c>
      <c r="H296" s="75" t="e">
        <f>H297+H301+H308+H310</f>
        <v>#REF!</v>
      </c>
      <c r="I296" s="75" t="e">
        <f>I297+I301+I308+I310</f>
        <v>#REF!</v>
      </c>
      <c r="J296" s="96" t="e">
        <f>J297+J301+J308+J310</f>
        <v>#REF!</v>
      </c>
      <c r="K296" s="287" t="e">
        <f>K297+K301+K308+K310</f>
        <v>#REF!</v>
      </c>
      <c r="L296" s="313"/>
      <c r="M296" s="75"/>
      <c r="N296" s="96"/>
      <c r="O296" s="96"/>
      <c r="P296" s="287"/>
      <c r="Q296" s="449"/>
      <c r="R296" s="449"/>
      <c r="S296" s="465" t="e">
        <f t="shared" si="59"/>
        <v>#DIV/0!</v>
      </c>
    </row>
    <row r="297" spans="1:19" s="1" customFormat="1" ht="12.75" hidden="1">
      <c r="A297" s="46" t="s">
        <v>211</v>
      </c>
      <c r="B297" s="71"/>
      <c r="C297" s="72" t="s">
        <v>198</v>
      </c>
      <c r="D297" s="72" t="s">
        <v>199</v>
      </c>
      <c r="E297" s="73" t="s">
        <v>200</v>
      </c>
      <c r="F297" s="74" t="s">
        <v>201</v>
      </c>
      <c r="G297" s="96" t="e">
        <f>SUM(G298:G300)</f>
        <v>#REF!</v>
      </c>
      <c r="H297" s="75" t="e">
        <f>SUM(H298:H300)</f>
        <v>#REF!</v>
      </c>
      <c r="I297" s="75" t="e">
        <f>SUM(I298:I300)</f>
        <v>#REF!</v>
      </c>
      <c r="J297" s="96" t="e">
        <f>SUM(J298:J300)</f>
        <v>#REF!</v>
      </c>
      <c r="K297" s="287" t="e">
        <f>SUM(K298:K300)</f>
        <v>#REF!</v>
      </c>
      <c r="L297" s="313"/>
      <c r="M297" s="75"/>
      <c r="N297" s="96"/>
      <c r="O297" s="96"/>
      <c r="P297" s="287"/>
      <c r="Q297" s="449"/>
      <c r="R297" s="449"/>
      <c r="S297" s="465" t="e">
        <f t="shared" si="59"/>
        <v>#DIV/0!</v>
      </c>
    </row>
    <row r="298" spans="1:19" s="1" customFormat="1" ht="12.75" hidden="1">
      <c r="A298" s="46" t="s">
        <v>212</v>
      </c>
      <c r="B298" s="71"/>
      <c r="C298" s="72" t="s">
        <v>198</v>
      </c>
      <c r="D298" s="72" t="s">
        <v>199</v>
      </c>
      <c r="E298" s="73" t="s">
        <v>200</v>
      </c>
      <c r="F298" s="74" t="s">
        <v>201</v>
      </c>
      <c r="G298" s="96" t="e">
        <f>#REF!+#REF!+#REF!+#REF!+#REF!+#REF!+G149+G233+G203+G168+G135+G264</f>
        <v>#REF!</v>
      </c>
      <c r="H298" s="75" t="e">
        <f>#REF!+#REF!+#REF!+#REF!+#REF!+#REF!+H149+H233+H203+H168+H135+H264</f>
        <v>#REF!</v>
      </c>
      <c r="I298" s="75" t="e">
        <f>#REF!+#REF!+#REF!+#REF!+#REF!+#REF!+I149+I233+I203+I168+I135+I264</f>
        <v>#REF!</v>
      </c>
      <c r="J298" s="96" t="e">
        <f>#REF!+#REF!+#REF!+#REF!+#REF!+#REF!+J149+J233+J203+J168+J135+J264</f>
        <v>#REF!</v>
      </c>
      <c r="K298" s="287" t="e">
        <f>#REF!+#REF!+#REF!+#REF!+#REF!+#REF!+K149+K233+K203+K168+K135+K264</f>
        <v>#REF!</v>
      </c>
      <c r="L298" s="313"/>
      <c r="M298" s="75"/>
      <c r="N298" s="96"/>
      <c r="O298" s="96"/>
      <c r="P298" s="287"/>
      <c r="Q298" s="449"/>
      <c r="R298" s="449"/>
      <c r="S298" s="465" t="e">
        <f t="shared" si="59"/>
        <v>#DIV/0!</v>
      </c>
    </row>
    <row r="299" spans="1:19" s="1" customFormat="1" ht="12.75" hidden="1">
      <c r="A299" s="46" t="s">
        <v>213</v>
      </c>
      <c r="B299" s="71"/>
      <c r="C299" s="72" t="s">
        <v>198</v>
      </c>
      <c r="D299" s="72" t="s">
        <v>199</v>
      </c>
      <c r="E299" s="73" t="s">
        <v>200</v>
      </c>
      <c r="F299" s="74" t="s">
        <v>201</v>
      </c>
      <c r="G299" s="96" t="e">
        <f>#REF!+#REF!+#REF!+#REF!+#REF!+G125+G150+G234+G204+G169+G136+G170</f>
        <v>#REF!</v>
      </c>
      <c r="H299" s="75" t="e">
        <f>#REF!+#REF!+#REF!+#REF!+#REF!+H125+H150+H234+H204+H169+H136+H170</f>
        <v>#REF!</v>
      </c>
      <c r="I299" s="75" t="e">
        <f>#REF!+#REF!+#REF!+#REF!+#REF!+I125+I150+I234+I204+I169+I136+I170</f>
        <v>#REF!</v>
      </c>
      <c r="J299" s="96" t="e">
        <f>#REF!+#REF!+#REF!+#REF!+#REF!+J125+J150+J234+J204+J169+J136+J170</f>
        <v>#REF!</v>
      </c>
      <c r="K299" s="287" t="e">
        <f>#REF!+#REF!+#REF!+#REF!+#REF!+K125+K150+K234+K204+K169+K136+K170</f>
        <v>#REF!</v>
      </c>
      <c r="L299" s="313"/>
      <c r="M299" s="75"/>
      <c r="N299" s="96"/>
      <c r="O299" s="96"/>
      <c r="P299" s="287"/>
      <c r="Q299" s="449"/>
      <c r="R299" s="449"/>
      <c r="S299" s="465" t="e">
        <f t="shared" si="59"/>
        <v>#DIV/0!</v>
      </c>
    </row>
    <row r="300" spans="1:19" s="1" customFormat="1" ht="12.75" hidden="1">
      <c r="A300" s="46" t="s">
        <v>214</v>
      </c>
      <c r="B300" s="71"/>
      <c r="C300" s="72" t="s">
        <v>198</v>
      </c>
      <c r="D300" s="72" t="s">
        <v>199</v>
      </c>
      <c r="E300" s="73" t="s">
        <v>200</v>
      </c>
      <c r="F300" s="74" t="s">
        <v>201</v>
      </c>
      <c r="G300" s="96" t="e">
        <f>#REF!+#REF!+#REF!+#REF!+#REF!+G126+#REF!+G151+G235+G205+G137+G171+G266</f>
        <v>#REF!</v>
      </c>
      <c r="H300" s="75" t="e">
        <f>#REF!+#REF!+#REF!+#REF!+#REF!+H126+#REF!+H151+H235+H205+H137+H171+H266</f>
        <v>#REF!</v>
      </c>
      <c r="I300" s="75" t="e">
        <f>#REF!+#REF!+#REF!+#REF!+#REF!+I126+#REF!+I151+I235+I205+I137+I171+I266</f>
        <v>#REF!</v>
      </c>
      <c r="J300" s="96" t="e">
        <f>#REF!+#REF!+#REF!+#REF!+#REF!+J126+#REF!+J151+J235+J205+J137+J171+J266</f>
        <v>#REF!</v>
      </c>
      <c r="K300" s="287" t="e">
        <f>#REF!+#REF!+#REF!+#REF!+#REF!+K126+#REF!+K151+K235+K205+K137+K171+K266</f>
        <v>#REF!</v>
      </c>
      <c r="L300" s="313"/>
      <c r="M300" s="75"/>
      <c r="N300" s="96"/>
      <c r="O300" s="96"/>
      <c r="P300" s="287"/>
      <c r="Q300" s="449"/>
      <c r="R300" s="449"/>
      <c r="S300" s="465" t="e">
        <f t="shared" si="59"/>
        <v>#DIV/0!</v>
      </c>
    </row>
    <row r="301" spans="1:19" s="1" customFormat="1" ht="12.75" hidden="1">
      <c r="A301" s="46" t="s">
        <v>222</v>
      </c>
      <c r="B301" s="71"/>
      <c r="C301" s="72" t="s">
        <v>198</v>
      </c>
      <c r="D301" s="72" t="s">
        <v>199</v>
      </c>
      <c r="E301" s="73" t="s">
        <v>200</v>
      </c>
      <c r="F301" s="74" t="s">
        <v>201</v>
      </c>
      <c r="G301" s="96" t="e">
        <f>SUM(G302:G307)</f>
        <v>#REF!</v>
      </c>
      <c r="H301" s="75" t="e">
        <f>SUM(H302:H307)</f>
        <v>#REF!</v>
      </c>
      <c r="I301" s="75" t="e">
        <f>SUM(I302:I307)</f>
        <v>#REF!</v>
      </c>
      <c r="J301" s="96" t="e">
        <f>SUM(J302:J307)</f>
        <v>#REF!</v>
      </c>
      <c r="K301" s="287" t="e">
        <f>SUM(K302:K307)</f>
        <v>#REF!</v>
      </c>
      <c r="L301" s="313"/>
      <c r="M301" s="75"/>
      <c r="N301" s="96"/>
      <c r="O301" s="96"/>
      <c r="P301" s="287"/>
      <c r="Q301" s="449"/>
      <c r="R301" s="449"/>
      <c r="S301" s="465" t="e">
        <f t="shared" si="59"/>
        <v>#DIV/0!</v>
      </c>
    </row>
    <row r="302" spans="1:19" s="1" customFormat="1" ht="12.75" hidden="1">
      <c r="A302" s="46" t="s">
        <v>223</v>
      </c>
      <c r="B302" s="71"/>
      <c r="C302" s="72" t="s">
        <v>198</v>
      </c>
      <c r="D302" s="72" t="s">
        <v>199</v>
      </c>
      <c r="E302" s="73" t="s">
        <v>200</v>
      </c>
      <c r="F302" s="74" t="s">
        <v>201</v>
      </c>
      <c r="G302" s="96" t="e">
        <f>#REF!+#REF!+#REF!+#REF!+G153+G128+G237+G207+G173+G139+G291+G181+G268</f>
        <v>#REF!</v>
      </c>
      <c r="H302" s="75" t="e">
        <f>#REF!+#REF!+#REF!+#REF!+H153+H128+H237+H207+H173+H139+H291+H181+H268</f>
        <v>#REF!</v>
      </c>
      <c r="I302" s="75" t="e">
        <f>#REF!+#REF!+#REF!+#REF!+I153+I128+I237+I207+I173+I139+I291+I181+I268</f>
        <v>#REF!</v>
      </c>
      <c r="J302" s="96" t="e">
        <f>#REF!+#REF!+#REF!+#REF!+J153+J128+J237+J207+J173+J139+J291+J181+J268</f>
        <v>#REF!</v>
      </c>
      <c r="K302" s="287" t="e">
        <f>#REF!+#REF!+#REF!+#REF!+K153+K128+K237+K207+K173+K139+K291+K181+K268</f>
        <v>#REF!</v>
      </c>
      <c r="L302" s="313"/>
      <c r="M302" s="75"/>
      <c r="N302" s="96"/>
      <c r="O302" s="96"/>
      <c r="P302" s="287"/>
      <c r="Q302" s="449"/>
      <c r="R302" s="449"/>
      <c r="S302" s="465" t="e">
        <f t="shared" si="59"/>
        <v>#DIV/0!</v>
      </c>
    </row>
    <row r="303" spans="1:19" s="1" customFormat="1" ht="12.75" hidden="1">
      <c r="A303" s="46" t="s">
        <v>224</v>
      </c>
      <c r="B303" s="71"/>
      <c r="C303" s="72" t="s">
        <v>198</v>
      </c>
      <c r="D303" s="72" t="s">
        <v>199</v>
      </c>
      <c r="E303" s="73" t="s">
        <v>200</v>
      </c>
      <c r="F303" s="74" t="s">
        <v>201</v>
      </c>
      <c r="G303" s="96" t="e">
        <f>#REF!+#REF!+#REF!+#REF!+G154+#REF!+G238+G208+G174+G292+G182</f>
        <v>#REF!</v>
      </c>
      <c r="H303" s="75" t="e">
        <f>#REF!+#REF!+#REF!+#REF!+H154+#REF!+H238+H208+H174+H292+H182</f>
        <v>#REF!</v>
      </c>
      <c r="I303" s="75" t="e">
        <f>#REF!+#REF!+#REF!+#REF!+I154+#REF!+I238+I208+I174+I292+I182</f>
        <v>#REF!</v>
      </c>
      <c r="J303" s="96" t="e">
        <f>#REF!+#REF!+#REF!+#REF!+J154+#REF!+J238+J208+J174+J292+J182</f>
        <v>#REF!</v>
      </c>
      <c r="K303" s="287" t="e">
        <f>#REF!+#REF!+#REF!+#REF!+K154+#REF!+K238+K208+K174+K292+K182</f>
        <v>#REF!</v>
      </c>
      <c r="L303" s="313"/>
      <c r="M303" s="75"/>
      <c r="N303" s="96"/>
      <c r="O303" s="96"/>
      <c r="P303" s="287"/>
      <c r="Q303" s="449"/>
      <c r="R303" s="449"/>
      <c r="S303" s="465" t="e">
        <f t="shared" si="59"/>
        <v>#DIV/0!</v>
      </c>
    </row>
    <row r="304" spans="1:19" s="1" customFormat="1" ht="12.75" hidden="1">
      <c r="A304" s="46" t="s">
        <v>242</v>
      </c>
      <c r="B304" s="71"/>
      <c r="C304" s="72" t="s">
        <v>198</v>
      </c>
      <c r="D304" s="72" t="s">
        <v>199</v>
      </c>
      <c r="E304" s="73" t="s">
        <v>200</v>
      </c>
      <c r="F304" s="74" t="s">
        <v>201</v>
      </c>
      <c r="G304" s="96" t="e">
        <f>#REF!+#REF!+#REF!+G155+G209+G175+G239+G244+G269+G183</f>
        <v>#REF!</v>
      </c>
      <c r="H304" s="75" t="e">
        <f>#REF!+#REF!+#REF!+H155+H209+H175+H239+H244+H269+H183</f>
        <v>#REF!</v>
      </c>
      <c r="I304" s="75" t="e">
        <f>#REF!+#REF!+#REF!+I155+I209+I175+I239+I244+I269+I183</f>
        <v>#REF!</v>
      </c>
      <c r="J304" s="96" t="e">
        <f>#REF!+#REF!+#REF!+J155+J209+J175+J239+J244+J269+J183</f>
        <v>#REF!</v>
      </c>
      <c r="K304" s="287" t="e">
        <f>#REF!+#REF!+#REF!+K155+K209+K175+K239+K244+K269+K183</f>
        <v>#REF!</v>
      </c>
      <c r="L304" s="313"/>
      <c r="M304" s="75"/>
      <c r="N304" s="96"/>
      <c r="O304" s="96"/>
      <c r="P304" s="287"/>
      <c r="Q304" s="449"/>
      <c r="R304" s="449"/>
      <c r="S304" s="465" t="e">
        <f t="shared" si="59"/>
        <v>#DIV/0!</v>
      </c>
    </row>
    <row r="305" spans="1:19" s="1" customFormat="1" ht="12.75" hidden="1">
      <c r="A305" s="46" t="s">
        <v>243</v>
      </c>
      <c r="B305" s="71"/>
      <c r="C305" s="72" t="s">
        <v>198</v>
      </c>
      <c r="D305" s="72" t="s">
        <v>199</v>
      </c>
      <c r="E305" s="73" t="s">
        <v>200</v>
      </c>
      <c r="F305" s="74" t="s">
        <v>201</v>
      </c>
      <c r="G305" s="96" t="e">
        <f>#REF!+#REF!+#REF!+G156+G240+G210+G176+G293</f>
        <v>#REF!</v>
      </c>
      <c r="H305" s="75" t="e">
        <f>#REF!+#REF!+#REF!+H156+H240+H210+H176+H293</f>
        <v>#REF!</v>
      </c>
      <c r="I305" s="75" t="e">
        <f>#REF!+#REF!+#REF!+I156+I240+I210+I176+I293</f>
        <v>#REF!</v>
      </c>
      <c r="J305" s="96" t="e">
        <f>#REF!+#REF!+#REF!+J156+J240+J210+J176+J293</f>
        <v>#REF!</v>
      </c>
      <c r="K305" s="287" t="e">
        <f>#REF!+#REF!+#REF!+K156+K240+K210+K176+K293</f>
        <v>#REF!</v>
      </c>
      <c r="L305" s="313"/>
      <c r="M305" s="75"/>
      <c r="N305" s="96"/>
      <c r="O305" s="96"/>
      <c r="P305" s="287"/>
      <c r="Q305" s="449"/>
      <c r="R305" s="449"/>
      <c r="S305" s="465" t="e">
        <f t="shared" si="59"/>
        <v>#DIV/0!</v>
      </c>
    </row>
    <row r="306" spans="1:19" s="1" customFormat="1" ht="12.75" hidden="1">
      <c r="A306" s="46" t="s">
        <v>225</v>
      </c>
      <c r="B306" s="71"/>
      <c r="C306" s="72" t="s">
        <v>198</v>
      </c>
      <c r="D306" s="72" t="s">
        <v>199</v>
      </c>
      <c r="E306" s="73" t="s">
        <v>200</v>
      </c>
      <c r="F306" s="74" t="s">
        <v>201</v>
      </c>
      <c r="G306" s="96" t="e">
        <f>#REF!+#REF!+#REF!+#REF!+G157+#REF!+G241+G211+G177+G245</f>
        <v>#REF!</v>
      </c>
      <c r="H306" s="75" t="e">
        <f>#REF!+#REF!+#REF!+#REF!+H157+#REF!+H241+H211+H177+H245</f>
        <v>#REF!</v>
      </c>
      <c r="I306" s="75" t="e">
        <f>#REF!+#REF!+#REF!+#REF!+I157+#REF!+I241+I211+I177+I245</f>
        <v>#REF!</v>
      </c>
      <c r="J306" s="96" t="e">
        <f>#REF!+#REF!+#REF!+#REF!+J157+#REF!+J241+J211+J177+J245</f>
        <v>#REF!</v>
      </c>
      <c r="K306" s="287" t="e">
        <f>#REF!+#REF!+#REF!+#REF!+K157+#REF!+K241+K211+K177+K245</f>
        <v>#REF!</v>
      </c>
      <c r="L306" s="313"/>
      <c r="M306" s="75"/>
      <c r="N306" s="96"/>
      <c r="O306" s="96"/>
      <c r="P306" s="287"/>
      <c r="Q306" s="449"/>
      <c r="R306" s="449"/>
      <c r="S306" s="465" t="e">
        <f t="shared" si="59"/>
        <v>#DIV/0!</v>
      </c>
    </row>
    <row r="307" spans="1:19" s="1" customFormat="1" ht="12.75" hidden="1">
      <c r="A307" s="46" t="s">
        <v>226</v>
      </c>
      <c r="B307" s="71"/>
      <c r="C307" s="72" t="s">
        <v>198</v>
      </c>
      <c r="D307" s="72" t="s">
        <v>199</v>
      </c>
      <c r="E307" s="73" t="s">
        <v>200</v>
      </c>
      <c r="F307" s="74" t="s">
        <v>201</v>
      </c>
      <c r="G307" s="96" t="e">
        <f>#REF!+#REF!+#REF!+G286+#REF!+G279+G158+G280+G242+G212+G178+G294+G246+G184+G140+G270</f>
        <v>#REF!</v>
      </c>
      <c r="H307" s="75" t="e">
        <f>#REF!+#REF!+#REF!+H286+#REF!+H279+H158+H280+H242+H212+H178+H294+H246+H184+H140+H270</f>
        <v>#REF!</v>
      </c>
      <c r="I307" s="75" t="e">
        <f>#REF!+#REF!+#REF!+I286+#REF!+I279+I158+I280+I242+I212+I178+I294+I246+I184+I140+I270</f>
        <v>#REF!</v>
      </c>
      <c r="J307" s="96" t="e">
        <f>#REF!+#REF!+#REF!+J286+#REF!+J279+J158+J280+J242+J212+J178+J294+J246+J184+J140+J270</f>
        <v>#REF!</v>
      </c>
      <c r="K307" s="287" t="e">
        <f>#REF!+#REF!+#REF!+K286+#REF!+K279+K158+K280+K242+K212+K178+K294+K246+K184+K140+K270</f>
        <v>#REF!</v>
      </c>
      <c r="L307" s="313"/>
      <c r="M307" s="75"/>
      <c r="N307" s="96"/>
      <c r="O307" s="96"/>
      <c r="P307" s="287"/>
      <c r="Q307" s="449"/>
      <c r="R307" s="449"/>
      <c r="S307" s="465" t="e">
        <f t="shared" si="59"/>
        <v>#DIV/0!</v>
      </c>
    </row>
    <row r="308" spans="1:19" s="1" customFormat="1" ht="12.75" hidden="1">
      <c r="A308" s="46" t="s">
        <v>287</v>
      </c>
      <c r="B308" s="71"/>
      <c r="C308" s="72" t="s">
        <v>198</v>
      </c>
      <c r="D308" s="72" t="s">
        <v>199</v>
      </c>
      <c r="E308" s="73" t="s">
        <v>200</v>
      </c>
      <c r="F308" s="74" t="s">
        <v>201</v>
      </c>
      <c r="G308" s="96" t="e">
        <f>G309</f>
        <v>#REF!</v>
      </c>
      <c r="H308" s="75" t="e">
        <f>H309</f>
        <v>#REF!</v>
      </c>
      <c r="I308" s="75" t="e">
        <f>I309</f>
        <v>#REF!</v>
      </c>
      <c r="J308" s="96" t="e">
        <f>J309</f>
        <v>#REF!</v>
      </c>
      <c r="K308" s="287" t="e">
        <f>K309</f>
        <v>#REF!</v>
      </c>
      <c r="L308" s="313"/>
      <c r="M308" s="75"/>
      <c r="N308" s="96"/>
      <c r="O308" s="96"/>
      <c r="P308" s="287"/>
      <c r="Q308" s="449"/>
      <c r="R308" s="449"/>
      <c r="S308" s="465" t="e">
        <f t="shared" si="59"/>
        <v>#DIV/0!</v>
      </c>
    </row>
    <row r="309" spans="1:19" s="1" customFormat="1" ht="12.75" hidden="1">
      <c r="A309" s="46" t="s">
        <v>287</v>
      </c>
      <c r="B309" s="71"/>
      <c r="C309" s="72" t="s">
        <v>198</v>
      </c>
      <c r="D309" s="72" t="s">
        <v>199</v>
      </c>
      <c r="E309" s="73" t="s">
        <v>200</v>
      </c>
      <c r="F309" s="74" t="s">
        <v>201</v>
      </c>
      <c r="G309" s="96" t="e">
        <f>#REF!</f>
        <v>#REF!</v>
      </c>
      <c r="H309" s="75" t="e">
        <f>#REF!</f>
        <v>#REF!</v>
      </c>
      <c r="I309" s="75" t="e">
        <f>#REF!</f>
        <v>#REF!</v>
      </c>
      <c r="J309" s="96" t="e">
        <f>#REF!</f>
        <v>#REF!</v>
      </c>
      <c r="K309" s="287" t="e">
        <f>#REF!</f>
        <v>#REF!</v>
      </c>
      <c r="L309" s="313"/>
      <c r="M309" s="75"/>
      <c r="N309" s="96"/>
      <c r="O309" s="96"/>
      <c r="P309" s="287"/>
      <c r="Q309" s="449"/>
      <c r="R309" s="449"/>
      <c r="S309" s="465" t="e">
        <f t="shared" si="59"/>
        <v>#DIV/0!</v>
      </c>
    </row>
    <row r="310" spans="1:19" s="1" customFormat="1" ht="12.75" hidden="1">
      <c r="A310" s="46" t="s">
        <v>227</v>
      </c>
      <c r="B310" s="71"/>
      <c r="C310" s="72" t="s">
        <v>198</v>
      </c>
      <c r="D310" s="72" t="s">
        <v>199</v>
      </c>
      <c r="E310" s="73" t="s">
        <v>200</v>
      </c>
      <c r="F310" s="74" t="s">
        <v>201</v>
      </c>
      <c r="G310" s="96" t="e">
        <f>#REF!+#REF!+#REF!+#REF!+#REF!+#REF!+G287+G159+G243+G213+G179</f>
        <v>#REF!</v>
      </c>
      <c r="H310" s="75" t="e">
        <f>#REF!+#REF!+#REF!+#REF!+#REF!+#REF!+H287+H159+H243+H213+H179</f>
        <v>#REF!</v>
      </c>
      <c r="I310" s="75" t="e">
        <f>#REF!+#REF!+#REF!+#REF!+#REF!+#REF!+I287+I159+I243+I213+I179</f>
        <v>#REF!</v>
      </c>
      <c r="J310" s="96" t="e">
        <f>#REF!+#REF!+#REF!+#REF!+#REF!+#REF!+J287+J159+J243+J213+J179</f>
        <v>#REF!</v>
      </c>
      <c r="K310" s="287" t="e">
        <f>#REF!+#REF!+#REF!+#REF!+#REF!+#REF!+K287+K159+K243+K213+K179</f>
        <v>#REF!</v>
      </c>
      <c r="L310" s="313"/>
      <c r="M310" s="75"/>
      <c r="N310" s="96"/>
      <c r="O310" s="96"/>
      <c r="P310" s="287"/>
      <c r="Q310" s="449"/>
      <c r="R310" s="449"/>
      <c r="S310" s="465" t="e">
        <f t="shared" si="59"/>
        <v>#DIV/0!</v>
      </c>
    </row>
    <row r="311" spans="1:19" s="1" customFormat="1" ht="12.75" hidden="1">
      <c r="A311" s="46" t="s">
        <v>228</v>
      </c>
      <c r="B311" s="71"/>
      <c r="C311" s="72" t="s">
        <v>198</v>
      </c>
      <c r="D311" s="72" t="s">
        <v>199</v>
      </c>
      <c r="E311" s="73" t="s">
        <v>200</v>
      </c>
      <c r="F311" s="74" t="s">
        <v>201</v>
      </c>
      <c r="G311" s="96" t="e">
        <f>SUM(G312:G313)</f>
        <v>#REF!</v>
      </c>
      <c r="H311" s="75" t="e">
        <f>SUM(H312:H313)</f>
        <v>#REF!</v>
      </c>
      <c r="I311" s="75" t="e">
        <f>SUM(I312:I313)</f>
        <v>#REF!</v>
      </c>
      <c r="J311" s="96" t="e">
        <f>SUM(J312:J313)</f>
        <v>#REF!</v>
      </c>
      <c r="K311" s="287" t="e">
        <f>SUM(K312:K313)</f>
        <v>#REF!</v>
      </c>
      <c r="L311" s="313"/>
      <c r="M311" s="75"/>
      <c r="N311" s="96"/>
      <c r="O311" s="96"/>
      <c r="P311" s="287"/>
      <c r="Q311" s="449"/>
      <c r="R311" s="449"/>
      <c r="S311" s="465" t="e">
        <f t="shared" si="59"/>
        <v>#DIV/0!</v>
      </c>
    </row>
    <row r="312" spans="1:19" s="1" customFormat="1" ht="12.75" hidden="1">
      <c r="A312" s="46" t="s">
        <v>229</v>
      </c>
      <c r="B312" s="71"/>
      <c r="C312" s="72" t="s">
        <v>198</v>
      </c>
      <c r="D312" s="72" t="s">
        <v>199</v>
      </c>
      <c r="E312" s="73" t="s">
        <v>200</v>
      </c>
      <c r="F312" s="74" t="s">
        <v>201</v>
      </c>
      <c r="G312" s="96" t="e">
        <f>#REF!+#REF!+#REF!+#REF!+G161+G248+G215+G186+G142+G272</f>
        <v>#REF!</v>
      </c>
      <c r="H312" s="75" t="e">
        <f>#REF!+#REF!+#REF!+#REF!+H161+H248+H215+H186+H142+H272</f>
        <v>#REF!</v>
      </c>
      <c r="I312" s="75" t="e">
        <f>#REF!+#REF!+#REF!+#REF!+I161+I248+I215+I186+I142+I272</f>
        <v>#REF!</v>
      </c>
      <c r="J312" s="96" t="e">
        <f>#REF!+#REF!+#REF!+#REF!+J161+J248+J215+J186+J142+J272</f>
        <v>#REF!</v>
      </c>
      <c r="K312" s="287" t="e">
        <f>#REF!+#REF!+#REF!+#REF!+K161+K248+K215+K186+K142+K272</f>
        <v>#REF!</v>
      </c>
      <c r="L312" s="313"/>
      <c r="M312" s="75"/>
      <c r="N312" s="96"/>
      <c r="O312" s="96"/>
      <c r="P312" s="287"/>
      <c r="Q312" s="449"/>
      <c r="R312" s="449"/>
      <c r="S312" s="465" t="e">
        <f t="shared" si="59"/>
        <v>#DIV/0!</v>
      </c>
    </row>
    <row r="313" spans="1:19" s="1" customFormat="1" ht="12.75" hidden="1">
      <c r="A313" s="46" t="s">
        <v>230</v>
      </c>
      <c r="B313" s="71"/>
      <c r="C313" s="72" t="s">
        <v>198</v>
      </c>
      <c r="D313" s="72" t="s">
        <v>199</v>
      </c>
      <c r="E313" s="73" t="s">
        <v>200</v>
      </c>
      <c r="F313" s="74" t="s">
        <v>201</v>
      </c>
      <c r="G313" s="96" t="e">
        <f>#REF!+#REF!+#REF!+#REF!+G162+G130+G249+G216+G187+G143+G273</f>
        <v>#REF!</v>
      </c>
      <c r="H313" s="75" t="e">
        <f>#REF!+#REF!+#REF!+#REF!+H162+H130+H249+H216+H187+H143+H273</f>
        <v>#REF!</v>
      </c>
      <c r="I313" s="75" t="e">
        <f>#REF!+#REF!+#REF!+#REF!+I162+I130+I249+I216+I187+I143+I273</f>
        <v>#REF!</v>
      </c>
      <c r="J313" s="96" t="e">
        <f>#REF!+#REF!+#REF!+#REF!+J162+J130+J249+J216+J187+J143+J273</f>
        <v>#REF!</v>
      </c>
      <c r="K313" s="287" t="e">
        <f>#REF!+#REF!+#REF!+#REF!+K162+K130+K249+K216+K187+K143+K273</f>
        <v>#REF!</v>
      </c>
      <c r="L313" s="313"/>
      <c r="M313" s="75"/>
      <c r="N313" s="96"/>
      <c r="O313" s="96"/>
      <c r="P313" s="287"/>
      <c r="Q313" s="449"/>
      <c r="R313" s="449"/>
      <c r="S313" s="465" t="e">
        <f t="shared" si="59"/>
        <v>#DIV/0!</v>
      </c>
    </row>
    <row r="314" spans="1:19" s="1" customFormat="1" ht="0.75" customHeight="1" hidden="1">
      <c r="A314" s="46" t="s">
        <v>288</v>
      </c>
      <c r="B314" s="71"/>
      <c r="C314" s="72" t="s">
        <v>198</v>
      </c>
      <c r="D314" s="72" t="s">
        <v>199</v>
      </c>
      <c r="E314" s="73" t="s">
        <v>200</v>
      </c>
      <c r="F314" s="74" t="s">
        <v>201</v>
      </c>
      <c r="G314" s="96">
        <v>0</v>
      </c>
      <c r="H314" s="75">
        <v>0</v>
      </c>
      <c r="I314" s="75">
        <v>0</v>
      </c>
      <c r="J314" s="96">
        <v>0</v>
      </c>
      <c r="K314" s="287">
        <v>0</v>
      </c>
      <c r="L314" s="313"/>
      <c r="M314" s="75"/>
      <c r="N314" s="96"/>
      <c r="O314" s="96"/>
      <c r="P314" s="287"/>
      <c r="Q314" s="449"/>
      <c r="R314" s="449"/>
      <c r="S314" s="465" t="e">
        <f t="shared" si="59"/>
        <v>#DIV/0!</v>
      </c>
    </row>
    <row r="315" spans="1:19" s="1" customFormat="1" ht="12.75" hidden="1">
      <c r="A315" s="46" t="s">
        <v>289</v>
      </c>
      <c r="B315" s="71"/>
      <c r="C315" s="72" t="s">
        <v>198</v>
      </c>
      <c r="D315" s="72" t="s">
        <v>199</v>
      </c>
      <c r="E315" s="73" t="s">
        <v>200</v>
      </c>
      <c r="F315" s="74" t="s">
        <v>201</v>
      </c>
      <c r="G315" s="96">
        <v>0</v>
      </c>
      <c r="H315" s="75">
        <v>0</v>
      </c>
      <c r="I315" s="75">
        <v>0</v>
      </c>
      <c r="J315" s="96">
        <v>0</v>
      </c>
      <c r="K315" s="287">
        <v>0</v>
      </c>
      <c r="L315" s="313"/>
      <c r="M315" s="75"/>
      <c r="N315" s="96"/>
      <c r="O315" s="96"/>
      <c r="P315" s="287"/>
      <c r="Q315" s="449"/>
      <c r="R315" s="449"/>
      <c r="S315" s="465" t="e">
        <f t="shared" si="59"/>
        <v>#DIV/0!</v>
      </c>
    </row>
    <row r="316" spans="1:19" s="1" customFormat="1" ht="12.75" hidden="1">
      <c r="A316" s="108" t="s">
        <v>290</v>
      </c>
      <c r="B316" s="90"/>
      <c r="C316" s="129" t="s">
        <v>198</v>
      </c>
      <c r="D316" s="129" t="s">
        <v>199</v>
      </c>
      <c r="E316" s="130" t="s">
        <v>200</v>
      </c>
      <c r="F316" s="131" t="s">
        <v>201</v>
      </c>
      <c r="G316" s="96" t="e">
        <f>G298+G299+G300+G302+G303+G304+G305+G306+G307+G309+G310+G312+G313+G314+G315</f>
        <v>#REF!</v>
      </c>
      <c r="H316" s="75" t="e">
        <f>H298+H299+H300+H302+H303+H304+H305+H306+H307+H309+H310+H312+H313+H314+H315</f>
        <v>#REF!</v>
      </c>
      <c r="I316" s="75" t="e">
        <f>I298+I299+I300+I302+I303+I304+I305+I306+I307+I309+I310+I312+I313+I314+I315</f>
        <v>#REF!</v>
      </c>
      <c r="J316" s="96" t="e">
        <f>J298+J299+J300+J302+J303+J304+J305+J306+J307+J309+J310+J312+J313+J314+J315</f>
        <v>#REF!</v>
      </c>
      <c r="K316" s="287" t="e">
        <f>K298+K299+K300+K302+K303+K304+K305+K306+K307+K309+K310+K312+K313+K314+K315</f>
        <v>#REF!</v>
      </c>
      <c r="L316" s="313"/>
      <c r="M316" s="75"/>
      <c r="N316" s="96"/>
      <c r="O316" s="96"/>
      <c r="P316" s="287"/>
      <c r="Q316" s="449"/>
      <c r="R316" s="449"/>
      <c r="S316" s="465" t="e">
        <f t="shared" si="59"/>
        <v>#DIV/0!</v>
      </c>
    </row>
    <row r="317" spans="1:19" s="1" customFormat="1" ht="15.75" customHeight="1">
      <c r="A317" s="193" t="s">
        <v>108</v>
      </c>
      <c r="B317" s="141" t="s">
        <v>202</v>
      </c>
      <c r="C317" s="76" t="s">
        <v>198</v>
      </c>
      <c r="D317" s="76" t="s">
        <v>262</v>
      </c>
      <c r="E317" s="77" t="s">
        <v>273</v>
      </c>
      <c r="F317" s="101" t="s">
        <v>105</v>
      </c>
      <c r="G317" s="89">
        <f>G318+G319</f>
        <v>355.7</v>
      </c>
      <c r="H317" s="82">
        <f>H318+H319</f>
        <v>382.7</v>
      </c>
      <c r="I317" s="82">
        <f>I318+I319</f>
        <v>407.1</v>
      </c>
      <c r="J317" s="89">
        <v>29.4</v>
      </c>
      <c r="K317" s="275">
        <v>385.1</v>
      </c>
      <c r="L317" s="315">
        <v>-3.36</v>
      </c>
      <c r="M317" s="82"/>
      <c r="N317" s="89">
        <f>K317+L317+M317</f>
        <v>381.74</v>
      </c>
      <c r="O317" s="89"/>
      <c r="P317" s="275">
        <v>5.3</v>
      </c>
      <c r="Q317" s="448">
        <f aca="true" t="shared" si="63" ref="Q317:R320">N317+O317+P317</f>
        <v>387.04</v>
      </c>
      <c r="R317" s="448">
        <v>365.1942</v>
      </c>
      <c r="S317" s="444">
        <f t="shared" si="59"/>
        <v>94.35567383216205</v>
      </c>
    </row>
    <row r="318" spans="1:19" s="1" customFormat="1" ht="14.25" customHeight="1" hidden="1">
      <c r="A318" s="29"/>
      <c r="B318" s="161"/>
      <c r="C318" s="100"/>
      <c r="D318" s="100"/>
      <c r="E318" s="110"/>
      <c r="F318" s="81" t="s">
        <v>215</v>
      </c>
      <c r="G318" s="102">
        <v>273.2</v>
      </c>
      <c r="H318" s="137">
        <v>293.9</v>
      </c>
      <c r="I318" s="137">
        <v>312.7</v>
      </c>
      <c r="J318" s="102">
        <v>273.2</v>
      </c>
      <c r="K318" s="275">
        <f>G318+J318</f>
        <v>546.4</v>
      </c>
      <c r="L318" s="315"/>
      <c r="M318" s="82"/>
      <c r="N318" s="89">
        <f>K318+L318+M318</f>
        <v>546.4</v>
      </c>
      <c r="O318" s="89">
        <f>L318+M318+N318</f>
        <v>546.4</v>
      </c>
      <c r="P318" s="275">
        <f>M318+N318+O318</f>
        <v>1092.8</v>
      </c>
      <c r="Q318" s="448">
        <f t="shared" si="63"/>
        <v>2185.6</v>
      </c>
      <c r="R318" s="448">
        <f t="shared" si="63"/>
        <v>3824.7999999999997</v>
      </c>
      <c r="S318" s="444">
        <f t="shared" si="59"/>
        <v>175</v>
      </c>
    </row>
    <row r="319" spans="1:19" s="1" customFormat="1" ht="13.5" customHeight="1" hidden="1">
      <c r="A319" s="46"/>
      <c r="B319" s="141"/>
      <c r="C319" s="76"/>
      <c r="D319" s="76"/>
      <c r="E319" s="77"/>
      <c r="F319" s="78" t="s">
        <v>217</v>
      </c>
      <c r="G319" s="89">
        <v>82.5</v>
      </c>
      <c r="H319" s="82">
        <v>88.8</v>
      </c>
      <c r="I319" s="82">
        <v>94.4</v>
      </c>
      <c r="J319" s="89">
        <v>82.5</v>
      </c>
      <c r="K319" s="275">
        <f>G319+J319</f>
        <v>165</v>
      </c>
      <c r="L319" s="315"/>
      <c r="M319" s="82"/>
      <c r="N319" s="89">
        <f>K319+L319+M319</f>
        <v>165</v>
      </c>
      <c r="O319" s="89">
        <f>L319+M319+N319</f>
        <v>165</v>
      </c>
      <c r="P319" s="275">
        <f>M319+N319+O319</f>
        <v>330</v>
      </c>
      <c r="Q319" s="448">
        <f t="shared" si="63"/>
        <v>660</v>
      </c>
      <c r="R319" s="448">
        <f t="shared" si="63"/>
        <v>1155</v>
      </c>
      <c r="S319" s="444">
        <f t="shared" si="59"/>
        <v>175</v>
      </c>
    </row>
    <row r="320" spans="1:19" s="1" customFormat="1" ht="15.75" customHeight="1" thickBot="1">
      <c r="A320" s="192" t="s">
        <v>109</v>
      </c>
      <c r="B320" s="141" t="s">
        <v>202</v>
      </c>
      <c r="C320" s="76" t="s">
        <v>198</v>
      </c>
      <c r="D320" s="76" t="s">
        <v>262</v>
      </c>
      <c r="E320" s="77" t="s">
        <v>273</v>
      </c>
      <c r="F320" s="81" t="s">
        <v>106</v>
      </c>
      <c r="G320" s="89">
        <v>53.9</v>
      </c>
      <c r="H320" s="82">
        <v>58</v>
      </c>
      <c r="I320" s="82">
        <v>61.8</v>
      </c>
      <c r="J320" s="89"/>
      <c r="K320" s="275">
        <v>53.9</v>
      </c>
      <c r="L320" s="315">
        <v>3.36</v>
      </c>
      <c r="M320" s="82"/>
      <c r="N320" s="89">
        <f>K320+L320+M320</f>
        <v>57.26</v>
      </c>
      <c r="O320" s="89"/>
      <c r="P320" s="275">
        <v>0.7</v>
      </c>
      <c r="Q320" s="448">
        <f t="shared" si="63"/>
        <v>57.96</v>
      </c>
      <c r="R320" s="448">
        <v>50.59816</v>
      </c>
      <c r="S320" s="444">
        <f t="shared" si="59"/>
        <v>87.2984126984127</v>
      </c>
    </row>
    <row r="321" spans="1:19" s="1" customFormat="1" ht="1.5" customHeight="1" hidden="1" thickBot="1">
      <c r="A321" s="29"/>
      <c r="B321" s="30"/>
      <c r="C321" s="31"/>
      <c r="D321" s="31"/>
      <c r="E321" s="132"/>
      <c r="F321" s="81" t="s">
        <v>233</v>
      </c>
      <c r="G321" s="89"/>
      <c r="H321" s="82"/>
      <c r="I321" s="82"/>
      <c r="J321" s="89"/>
      <c r="K321" s="275"/>
      <c r="L321" s="315"/>
      <c r="M321" s="82"/>
      <c r="N321" s="89"/>
      <c r="O321" s="89"/>
      <c r="P321" s="275"/>
      <c r="Q321" s="448"/>
      <c r="R321" s="448"/>
      <c r="S321" s="465" t="e">
        <f t="shared" si="59"/>
        <v>#DIV/0!</v>
      </c>
    </row>
    <row r="322" spans="1:19" s="1" customFormat="1" ht="13.5" hidden="1" thickBot="1">
      <c r="A322" s="46"/>
      <c r="B322" s="71"/>
      <c r="C322" s="72"/>
      <c r="D322" s="72"/>
      <c r="E322" s="73"/>
      <c r="F322" s="78" t="s">
        <v>236</v>
      </c>
      <c r="G322" s="89"/>
      <c r="H322" s="82"/>
      <c r="I322" s="82"/>
      <c r="J322" s="89"/>
      <c r="K322" s="275"/>
      <c r="L322" s="315"/>
      <c r="M322" s="82"/>
      <c r="N322" s="89"/>
      <c r="O322" s="89"/>
      <c r="P322" s="275"/>
      <c r="Q322" s="448"/>
      <c r="R322" s="448"/>
      <c r="S322" s="465" t="e">
        <f t="shared" si="59"/>
        <v>#DIV/0!</v>
      </c>
    </row>
    <row r="323" spans="1:19" s="1" customFormat="1" ht="17.25" customHeight="1" hidden="1" thickBot="1">
      <c r="A323" s="46"/>
      <c r="B323" s="71"/>
      <c r="C323" s="72"/>
      <c r="D323" s="72"/>
      <c r="E323" s="73"/>
      <c r="F323" s="78" t="s">
        <v>238</v>
      </c>
      <c r="G323" s="89"/>
      <c r="H323" s="82"/>
      <c r="I323" s="82"/>
      <c r="J323" s="89"/>
      <c r="K323" s="275"/>
      <c r="L323" s="315"/>
      <c r="M323" s="82"/>
      <c r="N323" s="89"/>
      <c r="O323" s="89"/>
      <c r="P323" s="275"/>
      <c r="Q323" s="448"/>
      <c r="R323" s="448"/>
      <c r="S323" s="465" t="e">
        <f t="shared" si="59"/>
        <v>#DIV/0!</v>
      </c>
    </row>
    <row r="324" spans="1:19" s="1" customFormat="1" ht="13.5" hidden="1" thickBot="1">
      <c r="A324" s="62"/>
      <c r="B324" s="53"/>
      <c r="C324" s="54"/>
      <c r="D324" s="54"/>
      <c r="E324" s="133"/>
      <c r="F324" s="86" t="s">
        <v>239</v>
      </c>
      <c r="G324" s="94"/>
      <c r="H324" s="87"/>
      <c r="I324" s="87"/>
      <c r="J324" s="94"/>
      <c r="K324" s="291"/>
      <c r="L324" s="315"/>
      <c r="M324" s="82"/>
      <c r="N324" s="89"/>
      <c r="O324" s="89"/>
      <c r="P324" s="275"/>
      <c r="Q324" s="460"/>
      <c r="R324" s="460"/>
      <c r="S324" s="496" t="e">
        <f t="shared" si="59"/>
        <v>#DIV/0!</v>
      </c>
    </row>
    <row r="325" spans="1:19" s="1" customFormat="1" ht="16.5" customHeight="1" thickBot="1">
      <c r="A325" s="23" t="s">
        <v>291</v>
      </c>
      <c r="B325" s="24" t="s">
        <v>202</v>
      </c>
      <c r="C325" s="25" t="s">
        <v>198</v>
      </c>
      <c r="D325" s="25" t="s">
        <v>262</v>
      </c>
      <c r="E325" s="26" t="s">
        <v>292</v>
      </c>
      <c r="F325" s="27"/>
      <c r="G325" s="201">
        <f aca="true" t="shared" si="64" ref="G325:R325">G326</f>
        <v>500</v>
      </c>
      <c r="H325" s="28">
        <f t="shared" si="64"/>
        <v>0</v>
      </c>
      <c r="I325" s="28">
        <f t="shared" si="64"/>
        <v>0</v>
      </c>
      <c r="J325" s="201">
        <f t="shared" si="64"/>
        <v>0</v>
      </c>
      <c r="K325" s="289">
        <f t="shared" si="64"/>
        <v>500</v>
      </c>
      <c r="L325" s="289">
        <f t="shared" si="64"/>
        <v>0</v>
      </c>
      <c r="M325" s="289">
        <f t="shared" si="64"/>
        <v>0</v>
      </c>
      <c r="N325" s="289">
        <f t="shared" si="64"/>
        <v>500</v>
      </c>
      <c r="O325" s="289">
        <f t="shared" si="64"/>
        <v>-200</v>
      </c>
      <c r="P325" s="289">
        <f t="shared" si="64"/>
        <v>0</v>
      </c>
      <c r="Q325" s="482">
        <f t="shared" si="64"/>
        <v>150.2</v>
      </c>
      <c r="R325" s="483">
        <f t="shared" si="64"/>
        <v>148.22899999999998</v>
      </c>
      <c r="S325" s="484">
        <f t="shared" si="59"/>
        <v>98.68774966711051</v>
      </c>
    </row>
    <row r="326" spans="1:19" s="1" customFormat="1" ht="29.25" customHeight="1">
      <c r="A326" s="103" t="s">
        <v>153</v>
      </c>
      <c r="B326" s="99" t="s">
        <v>201</v>
      </c>
      <c r="C326" s="112" t="s">
        <v>198</v>
      </c>
      <c r="D326" s="112" t="s">
        <v>262</v>
      </c>
      <c r="E326" s="113" t="s">
        <v>294</v>
      </c>
      <c r="F326" s="104"/>
      <c r="G326" s="88">
        <f>G327+G329</f>
        <v>500</v>
      </c>
      <c r="H326" s="55">
        <f>H327+H329</f>
        <v>0</v>
      </c>
      <c r="I326" s="55">
        <f>I327+I329</f>
        <v>0</v>
      </c>
      <c r="J326" s="88">
        <f>J327+J329</f>
        <v>0</v>
      </c>
      <c r="K326" s="290">
        <f aca="true" t="shared" si="65" ref="K326:Q326">K330+K331</f>
        <v>500</v>
      </c>
      <c r="L326" s="290">
        <f t="shared" si="65"/>
        <v>0</v>
      </c>
      <c r="M326" s="290">
        <f t="shared" si="65"/>
        <v>0</v>
      </c>
      <c r="N326" s="290">
        <f t="shared" si="65"/>
        <v>500</v>
      </c>
      <c r="O326" s="290">
        <f t="shared" si="65"/>
        <v>-200</v>
      </c>
      <c r="P326" s="290">
        <f t="shared" si="65"/>
        <v>0</v>
      </c>
      <c r="Q326" s="480">
        <f t="shared" si="65"/>
        <v>150.2</v>
      </c>
      <c r="R326" s="480">
        <f>R330+R331</f>
        <v>148.22899999999998</v>
      </c>
      <c r="S326" s="481">
        <f t="shared" si="59"/>
        <v>98.68774966711051</v>
      </c>
    </row>
    <row r="327" spans="1:19" s="1" customFormat="1" ht="13.5" customHeight="1" hidden="1">
      <c r="A327" s="37" t="s">
        <v>208</v>
      </c>
      <c r="B327" s="71" t="s">
        <v>254</v>
      </c>
      <c r="C327" s="76" t="s">
        <v>198</v>
      </c>
      <c r="D327" s="76" t="s">
        <v>262</v>
      </c>
      <c r="E327" s="77" t="s">
        <v>294</v>
      </c>
      <c r="F327" s="78" t="s">
        <v>209</v>
      </c>
      <c r="G327" s="89">
        <f>G328</f>
        <v>0</v>
      </c>
      <c r="H327" s="82">
        <f>H328</f>
        <v>0</v>
      </c>
      <c r="I327" s="82">
        <f>I328</f>
        <v>0</v>
      </c>
      <c r="J327" s="89">
        <f>J328</f>
        <v>0</v>
      </c>
      <c r="K327" s="275">
        <f>K328</f>
        <v>0</v>
      </c>
      <c r="L327" s="315"/>
      <c r="M327" s="82"/>
      <c r="N327" s="89"/>
      <c r="O327" s="89"/>
      <c r="P327" s="275"/>
      <c r="Q327" s="448"/>
      <c r="R327" s="448"/>
      <c r="S327" s="465" t="e">
        <f t="shared" si="59"/>
        <v>#DIV/0!</v>
      </c>
    </row>
    <row r="328" spans="1:19" s="1" customFormat="1" ht="12.75" hidden="1">
      <c r="A328" s="38"/>
      <c r="B328" s="90"/>
      <c r="C328" s="91"/>
      <c r="D328" s="91"/>
      <c r="E328" s="92"/>
      <c r="F328" s="93" t="s">
        <v>236</v>
      </c>
      <c r="G328" s="89"/>
      <c r="H328" s="82"/>
      <c r="I328" s="82"/>
      <c r="J328" s="89"/>
      <c r="K328" s="275"/>
      <c r="L328" s="315"/>
      <c r="M328" s="82"/>
      <c r="N328" s="89"/>
      <c r="O328" s="89"/>
      <c r="P328" s="275"/>
      <c r="Q328" s="448"/>
      <c r="R328" s="448"/>
      <c r="S328" s="465" t="e">
        <f t="shared" si="59"/>
        <v>#DIV/0!</v>
      </c>
    </row>
    <row r="329" spans="1:19" s="1" customFormat="1" ht="16.5" customHeight="1" hidden="1">
      <c r="A329" s="37" t="s">
        <v>208</v>
      </c>
      <c r="B329" s="71" t="s">
        <v>202</v>
      </c>
      <c r="C329" s="76" t="s">
        <v>198</v>
      </c>
      <c r="D329" s="76" t="s">
        <v>262</v>
      </c>
      <c r="E329" s="77" t="s">
        <v>294</v>
      </c>
      <c r="F329" s="78" t="s">
        <v>201</v>
      </c>
      <c r="G329" s="89">
        <f>G331</f>
        <v>500</v>
      </c>
      <c r="H329" s="82">
        <f>H331</f>
        <v>0</v>
      </c>
      <c r="I329" s="82">
        <f>I331</f>
        <v>0</v>
      </c>
      <c r="J329" s="89">
        <f>J331</f>
        <v>0</v>
      </c>
      <c r="K329" s="275">
        <f>K331</f>
        <v>500</v>
      </c>
      <c r="L329" s="315"/>
      <c r="M329" s="82"/>
      <c r="N329" s="89"/>
      <c r="O329" s="89"/>
      <c r="P329" s="275"/>
      <c r="Q329" s="448"/>
      <c r="R329" s="448"/>
      <c r="S329" s="465" t="e">
        <f t="shared" si="59"/>
        <v>#DIV/0!</v>
      </c>
    </row>
    <row r="330" spans="1:19" s="1" customFormat="1" ht="15.75" customHeight="1">
      <c r="A330" s="181" t="s">
        <v>109</v>
      </c>
      <c r="B330" s="141" t="s">
        <v>254</v>
      </c>
      <c r="C330" s="76" t="s">
        <v>198</v>
      </c>
      <c r="D330" s="76" t="s">
        <v>262</v>
      </c>
      <c r="E330" s="77" t="s">
        <v>294</v>
      </c>
      <c r="F330" s="78" t="s">
        <v>106</v>
      </c>
      <c r="G330" s="89"/>
      <c r="H330" s="82"/>
      <c r="I330" s="82"/>
      <c r="J330" s="89"/>
      <c r="K330" s="275"/>
      <c r="L330" s="315">
        <v>400</v>
      </c>
      <c r="M330" s="82"/>
      <c r="N330" s="89">
        <f>K330+L330+M330</f>
        <v>400</v>
      </c>
      <c r="O330" s="89">
        <v>-200</v>
      </c>
      <c r="P330" s="275"/>
      <c r="Q330" s="448">
        <v>50.2</v>
      </c>
      <c r="R330" s="448">
        <v>50.2</v>
      </c>
      <c r="S330" s="444">
        <f t="shared" si="59"/>
        <v>100</v>
      </c>
    </row>
    <row r="331" spans="1:19" s="1" customFormat="1" ht="15.75" customHeight="1" thickBot="1">
      <c r="A331" s="192" t="s">
        <v>109</v>
      </c>
      <c r="B331" s="161" t="s">
        <v>202</v>
      </c>
      <c r="C331" s="100" t="s">
        <v>198</v>
      </c>
      <c r="D331" s="100" t="s">
        <v>262</v>
      </c>
      <c r="E331" s="110" t="s">
        <v>294</v>
      </c>
      <c r="F331" s="81" t="s">
        <v>106</v>
      </c>
      <c r="G331" s="205">
        <v>500</v>
      </c>
      <c r="H331" s="134"/>
      <c r="I331" s="134"/>
      <c r="J331" s="205"/>
      <c r="K331" s="174">
        <v>500</v>
      </c>
      <c r="L331" s="331">
        <v>-400</v>
      </c>
      <c r="M331" s="137"/>
      <c r="N331" s="102">
        <f>K331+L331+M331</f>
        <v>100</v>
      </c>
      <c r="O331" s="102"/>
      <c r="P331" s="280"/>
      <c r="Q331" s="460">
        <f>N331+O331+P331</f>
        <v>100</v>
      </c>
      <c r="R331" s="460">
        <v>98.029</v>
      </c>
      <c r="S331" s="491">
        <f t="shared" si="59"/>
        <v>98.029</v>
      </c>
    </row>
    <row r="332" spans="1:19" s="1" customFormat="1" ht="32.25" thickBot="1">
      <c r="A332" s="182" t="s">
        <v>142</v>
      </c>
      <c r="B332" s="183" t="s">
        <v>201</v>
      </c>
      <c r="C332" s="184" t="s">
        <v>219</v>
      </c>
      <c r="D332" s="184" t="s">
        <v>199</v>
      </c>
      <c r="E332" s="185"/>
      <c r="F332" s="186"/>
      <c r="G332" s="198">
        <f aca="true" t="shared" si="66" ref="G332:N332">G333+G357</f>
        <v>345</v>
      </c>
      <c r="H332" s="187">
        <f t="shared" si="66"/>
        <v>450</v>
      </c>
      <c r="I332" s="187">
        <f t="shared" si="66"/>
        <v>426</v>
      </c>
      <c r="J332" s="198">
        <f t="shared" si="66"/>
        <v>0</v>
      </c>
      <c r="K332" s="284">
        <f t="shared" si="66"/>
        <v>345</v>
      </c>
      <c r="L332" s="284">
        <f t="shared" si="66"/>
        <v>0</v>
      </c>
      <c r="M332" s="284">
        <f t="shared" si="66"/>
        <v>0</v>
      </c>
      <c r="N332" s="284">
        <f t="shared" si="66"/>
        <v>345</v>
      </c>
      <c r="O332" s="284">
        <f>O333+O357</f>
        <v>0</v>
      </c>
      <c r="P332" s="284">
        <f>P333+P357</f>
        <v>0</v>
      </c>
      <c r="Q332" s="462">
        <f>Q333+Q357</f>
        <v>345</v>
      </c>
      <c r="R332" s="463">
        <f>R333+R357</f>
        <v>210.9846</v>
      </c>
      <c r="S332" s="464">
        <f t="shared" si="59"/>
        <v>61.15495652173914</v>
      </c>
    </row>
    <row r="333" spans="1:19" s="1" customFormat="1" ht="16.5" customHeight="1" thickBot="1">
      <c r="A333" s="17" t="s">
        <v>296</v>
      </c>
      <c r="B333" s="18" t="s">
        <v>201</v>
      </c>
      <c r="C333" s="19" t="s">
        <v>219</v>
      </c>
      <c r="D333" s="19" t="s">
        <v>203</v>
      </c>
      <c r="E333" s="20"/>
      <c r="F333" s="21"/>
      <c r="G333" s="199">
        <f aca="true" t="shared" si="67" ref="G333:R333">G334</f>
        <v>345</v>
      </c>
      <c r="H333" s="199">
        <f t="shared" si="67"/>
        <v>450</v>
      </c>
      <c r="I333" s="199">
        <f t="shared" si="67"/>
        <v>426</v>
      </c>
      <c r="J333" s="199">
        <f t="shared" si="67"/>
        <v>0</v>
      </c>
      <c r="K333" s="285">
        <f t="shared" si="67"/>
        <v>345</v>
      </c>
      <c r="L333" s="285">
        <f t="shared" si="67"/>
        <v>0</v>
      </c>
      <c r="M333" s="285">
        <f t="shared" si="67"/>
        <v>0</v>
      </c>
      <c r="N333" s="285">
        <f t="shared" si="67"/>
        <v>345</v>
      </c>
      <c r="O333" s="285">
        <f t="shared" si="67"/>
        <v>0</v>
      </c>
      <c r="P333" s="285">
        <f t="shared" si="67"/>
        <v>0</v>
      </c>
      <c r="Q333" s="492">
        <f t="shared" si="67"/>
        <v>345</v>
      </c>
      <c r="R333" s="493">
        <f t="shared" si="67"/>
        <v>210.9846</v>
      </c>
      <c r="S333" s="494">
        <f t="shared" si="59"/>
        <v>61.15495652173914</v>
      </c>
    </row>
    <row r="334" spans="1:19" s="1" customFormat="1" ht="16.5" customHeight="1">
      <c r="A334" s="383" t="s">
        <v>297</v>
      </c>
      <c r="B334" s="66" t="s">
        <v>202</v>
      </c>
      <c r="C334" s="67" t="s">
        <v>219</v>
      </c>
      <c r="D334" s="67" t="s">
        <v>203</v>
      </c>
      <c r="E334" s="68" t="s">
        <v>292</v>
      </c>
      <c r="F334" s="69"/>
      <c r="G334" s="88">
        <f aca="true" t="shared" si="68" ref="G334:N334">G340+G354</f>
        <v>345</v>
      </c>
      <c r="H334" s="88">
        <f t="shared" si="68"/>
        <v>450</v>
      </c>
      <c r="I334" s="88">
        <f t="shared" si="68"/>
        <v>426</v>
      </c>
      <c r="J334" s="88">
        <f t="shared" si="68"/>
        <v>0</v>
      </c>
      <c r="K334" s="290">
        <f t="shared" si="68"/>
        <v>345</v>
      </c>
      <c r="L334" s="290">
        <f t="shared" si="68"/>
        <v>0</v>
      </c>
      <c r="M334" s="290">
        <f t="shared" si="68"/>
        <v>0</v>
      </c>
      <c r="N334" s="290">
        <f t="shared" si="68"/>
        <v>345</v>
      </c>
      <c r="O334" s="290">
        <f>O340+O354</f>
        <v>0</v>
      </c>
      <c r="P334" s="290">
        <f>P340+P354</f>
        <v>0</v>
      </c>
      <c r="Q334" s="471">
        <f>Q340+Q354</f>
        <v>345</v>
      </c>
      <c r="R334" s="472">
        <f>R340+R354</f>
        <v>210.9846</v>
      </c>
      <c r="S334" s="473">
        <f t="shared" si="59"/>
        <v>61.15495652173914</v>
      </c>
    </row>
    <row r="335" spans="1:19" s="1" customFormat="1" ht="12.75" hidden="1">
      <c r="A335" s="384" t="s">
        <v>208</v>
      </c>
      <c r="B335" s="71" t="s">
        <v>202</v>
      </c>
      <c r="C335" s="76" t="s">
        <v>219</v>
      </c>
      <c r="D335" s="76" t="s">
        <v>203</v>
      </c>
      <c r="E335" s="77" t="s">
        <v>292</v>
      </c>
      <c r="F335" s="78" t="s">
        <v>209</v>
      </c>
      <c r="G335" s="96">
        <f>G336+G348</f>
        <v>0</v>
      </c>
      <c r="H335" s="75">
        <f>H336+H348</f>
        <v>0</v>
      </c>
      <c r="I335" s="75">
        <f>I336+I348</f>
        <v>0</v>
      </c>
      <c r="J335" s="96">
        <f>J336+J348</f>
        <v>0</v>
      </c>
      <c r="K335" s="287">
        <f>K336+K348</f>
        <v>0</v>
      </c>
      <c r="L335" s="313"/>
      <c r="M335" s="75"/>
      <c r="N335" s="96"/>
      <c r="O335" s="96"/>
      <c r="P335" s="287"/>
      <c r="Q335" s="474"/>
      <c r="R335" s="449"/>
      <c r="S335" s="465" t="e">
        <f aca="true" t="shared" si="69" ref="S335:S398">R335/Q335*100</f>
        <v>#DIV/0!</v>
      </c>
    </row>
    <row r="336" spans="1:19" s="1" customFormat="1" ht="17.25" customHeight="1" hidden="1">
      <c r="A336" s="384" t="s">
        <v>210</v>
      </c>
      <c r="B336" s="71" t="s">
        <v>202</v>
      </c>
      <c r="C336" s="76" t="s">
        <v>219</v>
      </c>
      <c r="D336" s="76" t="s">
        <v>203</v>
      </c>
      <c r="E336" s="77" t="s">
        <v>292</v>
      </c>
      <c r="F336" s="78" t="s">
        <v>209</v>
      </c>
      <c r="G336" s="96"/>
      <c r="H336" s="75"/>
      <c r="I336" s="75"/>
      <c r="J336" s="96"/>
      <c r="K336" s="287"/>
      <c r="L336" s="313"/>
      <c r="M336" s="75"/>
      <c r="N336" s="96"/>
      <c r="O336" s="96"/>
      <c r="P336" s="287"/>
      <c r="Q336" s="474"/>
      <c r="R336" s="449"/>
      <c r="S336" s="465" t="e">
        <f t="shared" si="69"/>
        <v>#DIV/0!</v>
      </c>
    </row>
    <row r="337" spans="1:19" s="1" customFormat="1" ht="12.75" hidden="1">
      <c r="A337" s="384" t="s">
        <v>222</v>
      </c>
      <c r="B337" s="71" t="s">
        <v>202</v>
      </c>
      <c r="C337" s="76" t="s">
        <v>219</v>
      </c>
      <c r="D337" s="76" t="s">
        <v>203</v>
      </c>
      <c r="E337" s="77" t="s">
        <v>292</v>
      </c>
      <c r="F337" s="78" t="s">
        <v>209</v>
      </c>
      <c r="G337" s="96"/>
      <c r="H337" s="75"/>
      <c r="I337" s="75"/>
      <c r="J337" s="96"/>
      <c r="K337" s="287"/>
      <c r="L337" s="313"/>
      <c r="M337" s="75"/>
      <c r="N337" s="96"/>
      <c r="O337" s="96"/>
      <c r="P337" s="287"/>
      <c r="Q337" s="474"/>
      <c r="R337" s="449"/>
      <c r="S337" s="465" t="e">
        <f t="shared" si="69"/>
        <v>#DIV/0!</v>
      </c>
    </row>
    <row r="338" spans="1:19" s="1" customFormat="1" ht="12.75" hidden="1">
      <c r="A338" s="384" t="s">
        <v>226</v>
      </c>
      <c r="B338" s="71" t="s">
        <v>202</v>
      </c>
      <c r="C338" s="76" t="s">
        <v>219</v>
      </c>
      <c r="D338" s="76" t="s">
        <v>203</v>
      </c>
      <c r="E338" s="77" t="s">
        <v>298</v>
      </c>
      <c r="F338" s="78" t="s">
        <v>209</v>
      </c>
      <c r="G338" s="96"/>
      <c r="H338" s="75"/>
      <c r="I338" s="75"/>
      <c r="J338" s="96"/>
      <c r="K338" s="287"/>
      <c r="L338" s="313"/>
      <c r="M338" s="75"/>
      <c r="N338" s="96"/>
      <c r="O338" s="96"/>
      <c r="P338" s="287"/>
      <c r="Q338" s="474"/>
      <c r="R338" s="449"/>
      <c r="S338" s="465" t="e">
        <f t="shared" si="69"/>
        <v>#DIV/0!</v>
      </c>
    </row>
    <row r="339" spans="1:19" s="1" customFormat="1" ht="12.75" customHeight="1" hidden="1">
      <c r="A339" s="384" t="s">
        <v>225</v>
      </c>
      <c r="B339" s="71" t="s">
        <v>202</v>
      </c>
      <c r="C339" s="76" t="s">
        <v>219</v>
      </c>
      <c r="D339" s="76" t="s">
        <v>203</v>
      </c>
      <c r="E339" s="77" t="s">
        <v>298</v>
      </c>
      <c r="F339" s="78" t="s">
        <v>209</v>
      </c>
      <c r="G339" s="96"/>
      <c r="H339" s="75"/>
      <c r="I339" s="75"/>
      <c r="J339" s="96"/>
      <c r="K339" s="287"/>
      <c r="L339" s="313"/>
      <c r="M339" s="75"/>
      <c r="N339" s="96"/>
      <c r="O339" s="96"/>
      <c r="P339" s="287"/>
      <c r="Q339" s="474"/>
      <c r="R339" s="449"/>
      <c r="S339" s="465" t="e">
        <f t="shared" si="69"/>
        <v>#DIV/0!</v>
      </c>
    </row>
    <row r="340" spans="1:19" s="1" customFormat="1" ht="29.25" customHeight="1">
      <c r="A340" s="384" t="s">
        <v>117</v>
      </c>
      <c r="B340" s="71" t="s">
        <v>202</v>
      </c>
      <c r="C340" s="72" t="s">
        <v>219</v>
      </c>
      <c r="D340" s="72" t="s">
        <v>203</v>
      </c>
      <c r="E340" s="73" t="s">
        <v>298</v>
      </c>
      <c r="F340" s="74"/>
      <c r="G340" s="96">
        <f>G341</f>
        <v>50</v>
      </c>
      <c r="H340" s="75">
        <f>H341</f>
        <v>100</v>
      </c>
      <c r="I340" s="75">
        <f>I341</f>
        <v>131</v>
      </c>
      <c r="J340" s="96">
        <f>J341</f>
        <v>0</v>
      </c>
      <c r="K340" s="287">
        <f aca="true" t="shared" si="70" ref="K340:Q340">K352</f>
        <v>50</v>
      </c>
      <c r="L340" s="287">
        <f t="shared" si="70"/>
        <v>0</v>
      </c>
      <c r="M340" s="287">
        <f t="shared" si="70"/>
        <v>0</v>
      </c>
      <c r="N340" s="287">
        <f t="shared" si="70"/>
        <v>50</v>
      </c>
      <c r="O340" s="287">
        <f t="shared" si="70"/>
        <v>0</v>
      </c>
      <c r="P340" s="287">
        <f t="shared" si="70"/>
        <v>0</v>
      </c>
      <c r="Q340" s="474">
        <f t="shared" si="70"/>
        <v>50</v>
      </c>
      <c r="R340" s="449">
        <f>R352</f>
        <v>47.9886</v>
      </c>
      <c r="S340" s="465">
        <f t="shared" si="69"/>
        <v>95.9772</v>
      </c>
    </row>
    <row r="341" spans="1:19" s="1" customFormat="1" ht="0.75" customHeight="1" hidden="1">
      <c r="A341" s="385" t="s">
        <v>208</v>
      </c>
      <c r="B341" s="71" t="s">
        <v>202</v>
      </c>
      <c r="C341" s="76" t="s">
        <v>219</v>
      </c>
      <c r="D341" s="76" t="s">
        <v>203</v>
      </c>
      <c r="E341" s="77" t="s">
        <v>298</v>
      </c>
      <c r="F341" s="78" t="s">
        <v>209</v>
      </c>
      <c r="G341" s="89">
        <f>G352</f>
        <v>50</v>
      </c>
      <c r="H341" s="82">
        <f>H352</f>
        <v>100</v>
      </c>
      <c r="I341" s="82">
        <f>I352</f>
        <v>131</v>
      </c>
      <c r="J341" s="89">
        <f>J352</f>
        <v>0</v>
      </c>
      <c r="K341" s="275">
        <f>K352</f>
        <v>50</v>
      </c>
      <c r="L341" s="315"/>
      <c r="M341" s="82"/>
      <c r="N341" s="89"/>
      <c r="O341" s="89"/>
      <c r="P341" s="275"/>
      <c r="Q341" s="487"/>
      <c r="R341" s="448"/>
      <c r="S341" s="465" t="e">
        <f t="shared" si="69"/>
        <v>#DIV/0!</v>
      </c>
    </row>
    <row r="342" spans="1:19" s="1" customFormat="1" ht="12.75" hidden="1">
      <c r="A342" s="383" t="s">
        <v>226</v>
      </c>
      <c r="B342" s="99" t="s">
        <v>202</v>
      </c>
      <c r="C342" s="100" t="s">
        <v>219</v>
      </c>
      <c r="D342" s="100" t="s">
        <v>203</v>
      </c>
      <c r="E342" s="110" t="s">
        <v>292</v>
      </c>
      <c r="F342" s="101" t="s">
        <v>209</v>
      </c>
      <c r="G342" s="89"/>
      <c r="H342" s="82"/>
      <c r="I342" s="82"/>
      <c r="J342" s="89"/>
      <c r="K342" s="275"/>
      <c r="L342" s="315"/>
      <c r="M342" s="82"/>
      <c r="N342" s="89"/>
      <c r="O342" s="89"/>
      <c r="P342" s="275"/>
      <c r="Q342" s="487"/>
      <c r="R342" s="448"/>
      <c r="S342" s="465" t="e">
        <f t="shared" si="69"/>
        <v>#DIV/0!</v>
      </c>
    </row>
    <row r="343" spans="1:19" s="1" customFormat="1" ht="12.75" hidden="1">
      <c r="A343" s="384" t="s">
        <v>226</v>
      </c>
      <c r="B343" s="71" t="s">
        <v>299</v>
      </c>
      <c r="C343" s="76" t="s">
        <v>219</v>
      </c>
      <c r="D343" s="76" t="s">
        <v>203</v>
      </c>
      <c r="E343" s="77" t="s">
        <v>292</v>
      </c>
      <c r="F343" s="78" t="s">
        <v>209</v>
      </c>
      <c r="G343" s="89"/>
      <c r="H343" s="82"/>
      <c r="I343" s="82"/>
      <c r="J343" s="89"/>
      <c r="K343" s="275"/>
      <c r="L343" s="315"/>
      <c r="M343" s="82"/>
      <c r="N343" s="89"/>
      <c r="O343" s="89"/>
      <c r="P343" s="275"/>
      <c r="Q343" s="487"/>
      <c r="R343" s="448"/>
      <c r="S343" s="465" t="e">
        <f t="shared" si="69"/>
        <v>#DIV/0!</v>
      </c>
    </row>
    <row r="344" spans="1:19" s="1" customFormat="1" ht="12.75" hidden="1">
      <c r="A344" s="384" t="s">
        <v>227</v>
      </c>
      <c r="B344" s="71" t="s">
        <v>202</v>
      </c>
      <c r="C344" s="76" t="s">
        <v>219</v>
      </c>
      <c r="D344" s="76" t="s">
        <v>203</v>
      </c>
      <c r="E344" s="77" t="s">
        <v>292</v>
      </c>
      <c r="F344" s="78" t="s">
        <v>209</v>
      </c>
      <c r="G344" s="89"/>
      <c r="H344" s="82"/>
      <c r="I344" s="82"/>
      <c r="J344" s="89"/>
      <c r="K344" s="275"/>
      <c r="L344" s="315"/>
      <c r="M344" s="82"/>
      <c r="N344" s="89"/>
      <c r="O344" s="89"/>
      <c r="P344" s="275"/>
      <c r="Q344" s="487"/>
      <c r="R344" s="448"/>
      <c r="S344" s="465" t="e">
        <f t="shared" si="69"/>
        <v>#DIV/0!</v>
      </c>
    </row>
    <row r="345" spans="1:19" s="1" customFormat="1" ht="12" customHeight="1" hidden="1">
      <c r="A345" s="384" t="s">
        <v>227</v>
      </c>
      <c r="B345" s="71" t="s">
        <v>202</v>
      </c>
      <c r="C345" s="76" t="s">
        <v>219</v>
      </c>
      <c r="D345" s="76" t="s">
        <v>203</v>
      </c>
      <c r="E345" s="77" t="s">
        <v>300</v>
      </c>
      <c r="F345" s="78" t="s">
        <v>209</v>
      </c>
      <c r="G345" s="89"/>
      <c r="H345" s="82"/>
      <c r="I345" s="82"/>
      <c r="J345" s="89"/>
      <c r="K345" s="275"/>
      <c r="L345" s="315"/>
      <c r="M345" s="82"/>
      <c r="N345" s="89"/>
      <c r="O345" s="89"/>
      <c r="P345" s="275"/>
      <c r="Q345" s="487"/>
      <c r="R345" s="448"/>
      <c r="S345" s="465" t="e">
        <f t="shared" si="69"/>
        <v>#DIV/0!</v>
      </c>
    </row>
    <row r="346" spans="1:19" s="1" customFormat="1" ht="12.75" hidden="1">
      <c r="A346" s="384"/>
      <c r="B346" s="71"/>
      <c r="C346" s="76"/>
      <c r="D346" s="76"/>
      <c r="E346" s="77"/>
      <c r="F346" s="78"/>
      <c r="G346" s="89"/>
      <c r="H346" s="82"/>
      <c r="I346" s="82"/>
      <c r="J346" s="89"/>
      <c r="K346" s="275"/>
      <c r="L346" s="315"/>
      <c r="M346" s="82"/>
      <c r="N346" s="89"/>
      <c r="O346" s="89"/>
      <c r="P346" s="275"/>
      <c r="Q346" s="487"/>
      <c r="R346" s="448"/>
      <c r="S346" s="465" t="e">
        <f t="shared" si="69"/>
        <v>#DIV/0!</v>
      </c>
    </row>
    <row r="347" spans="1:19" s="1" customFormat="1" ht="12.75" hidden="1">
      <c r="A347" s="384"/>
      <c r="B347" s="71"/>
      <c r="C347" s="76"/>
      <c r="D347" s="76"/>
      <c r="E347" s="77"/>
      <c r="F347" s="78"/>
      <c r="G347" s="89"/>
      <c r="H347" s="82"/>
      <c r="I347" s="82"/>
      <c r="J347" s="89"/>
      <c r="K347" s="275"/>
      <c r="L347" s="315"/>
      <c r="M347" s="82"/>
      <c r="N347" s="89"/>
      <c r="O347" s="89"/>
      <c r="P347" s="275"/>
      <c r="Q347" s="487"/>
      <c r="R347" s="448"/>
      <c r="S347" s="465" t="e">
        <f t="shared" si="69"/>
        <v>#DIV/0!</v>
      </c>
    </row>
    <row r="348" spans="1:19" s="1" customFormat="1" ht="12.75" hidden="1">
      <c r="A348" s="384" t="s">
        <v>228</v>
      </c>
      <c r="B348" s="71" t="s">
        <v>202</v>
      </c>
      <c r="C348" s="76" t="s">
        <v>219</v>
      </c>
      <c r="D348" s="76" t="s">
        <v>203</v>
      </c>
      <c r="E348" s="77" t="s">
        <v>300</v>
      </c>
      <c r="F348" s="78" t="s">
        <v>209</v>
      </c>
      <c r="G348" s="89">
        <f>G351+G349</f>
        <v>0</v>
      </c>
      <c r="H348" s="82">
        <f>H351+H349</f>
        <v>0</v>
      </c>
      <c r="I348" s="82">
        <f>I351+I349</f>
        <v>0</v>
      </c>
      <c r="J348" s="89">
        <f>J351+J349</f>
        <v>0</v>
      </c>
      <c r="K348" s="275">
        <f>K351+K349</f>
        <v>0</v>
      </c>
      <c r="L348" s="315"/>
      <c r="M348" s="82"/>
      <c r="N348" s="89"/>
      <c r="O348" s="89"/>
      <c r="P348" s="275"/>
      <c r="Q348" s="487"/>
      <c r="R348" s="448"/>
      <c r="S348" s="465" t="e">
        <f t="shared" si="69"/>
        <v>#DIV/0!</v>
      </c>
    </row>
    <row r="349" spans="1:19" s="1" customFormat="1" ht="12.75" customHeight="1" hidden="1">
      <c r="A349" s="384" t="s">
        <v>229</v>
      </c>
      <c r="B349" s="71" t="s">
        <v>202</v>
      </c>
      <c r="C349" s="76" t="s">
        <v>219</v>
      </c>
      <c r="D349" s="76" t="s">
        <v>203</v>
      </c>
      <c r="E349" s="77" t="s">
        <v>300</v>
      </c>
      <c r="F349" s="78" t="s">
        <v>209</v>
      </c>
      <c r="G349" s="89"/>
      <c r="H349" s="82"/>
      <c r="I349" s="82"/>
      <c r="J349" s="89"/>
      <c r="K349" s="275"/>
      <c r="L349" s="315"/>
      <c r="M349" s="82"/>
      <c r="N349" s="89"/>
      <c r="O349" s="89"/>
      <c r="P349" s="275"/>
      <c r="Q349" s="487"/>
      <c r="R349" s="448"/>
      <c r="S349" s="465" t="e">
        <f t="shared" si="69"/>
        <v>#DIV/0!</v>
      </c>
    </row>
    <row r="350" spans="1:19" s="1" customFormat="1" ht="21.75" customHeight="1" hidden="1">
      <c r="A350" s="384"/>
      <c r="B350" s="71" t="s">
        <v>202</v>
      </c>
      <c r="C350" s="76" t="s">
        <v>219</v>
      </c>
      <c r="D350" s="76" t="s">
        <v>203</v>
      </c>
      <c r="E350" s="77" t="s">
        <v>300</v>
      </c>
      <c r="F350" s="78" t="s">
        <v>209</v>
      </c>
      <c r="G350" s="89"/>
      <c r="H350" s="82"/>
      <c r="I350" s="82"/>
      <c r="J350" s="89"/>
      <c r="K350" s="275"/>
      <c r="L350" s="315"/>
      <c r="M350" s="82"/>
      <c r="N350" s="89"/>
      <c r="O350" s="89"/>
      <c r="P350" s="275"/>
      <c r="Q350" s="487"/>
      <c r="R350" s="448"/>
      <c r="S350" s="465" t="e">
        <f t="shared" si="69"/>
        <v>#DIV/0!</v>
      </c>
    </row>
    <row r="351" spans="1:19" s="1" customFormat="1" ht="9" customHeight="1" hidden="1">
      <c r="A351" s="386" t="s">
        <v>230</v>
      </c>
      <c r="B351" s="90" t="s">
        <v>202</v>
      </c>
      <c r="C351" s="91" t="s">
        <v>219</v>
      </c>
      <c r="D351" s="91" t="s">
        <v>203</v>
      </c>
      <c r="E351" s="92" t="s">
        <v>300</v>
      </c>
      <c r="F351" s="93" t="s">
        <v>209</v>
      </c>
      <c r="G351" s="89"/>
      <c r="H351" s="82"/>
      <c r="I351" s="82"/>
      <c r="J351" s="89"/>
      <c r="K351" s="275"/>
      <c r="L351" s="315"/>
      <c r="M351" s="82"/>
      <c r="N351" s="89"/>
      <c r="O351" s="89"/>
      <c r="P351" s="275"/>
      <c r="Q351" s="487"/>
      <c r="R351" s="448"/>
      <c r="S351" s="465" t="e">
        <f t="shared" si="69"/>
        <v>#DIV/0!</v>
      </c>
    </row>
    <row r="352" spans="1:19" s="1" customFormat="1" ht="15.75" customHeight="1">
      <c r="A352" s="387" t="s">
        <v>109</v>
      </c>
      <c r="B352" s="141" t="s">
        <v>202</v>
      </c>
      <c r="C352" s="76" t="s">
        <v>219</v>
      </c>
      <c r="D352" s="76" t="s">
        <v>203</v>
      </c>
      <c r="E352" s="77" t="s">
        <v>298</v>
      </c>
      <c r="F352" s="81" t="s">
        <v>106</v>
      </c>
      <c r="G352" s="97">
        <f>G353</f>
        <v>50</v>
      </c>
      <c r="H352" s="111">
        <f>H353</f>
        <v>100</v>
      </c>
      <c r="I352" s="111">
        <f>I353</f>
        <v>131</v>
      </c>
      <c r="J352" s="97"/>
      <c r="K352" s="269">
        <v>50</v>
      </c>
      <c r="L352" s="315"/>
      <c r="M352" s="82"/>
      <c r="N352" s="89">
        <f>K352+L352+M352</f>
        <v>50</v>
      </c>
      <c r="O352" s="89"/>
      <c r="P352" s="275"/>
      <c r="Q352" s="487">
        <f>N352+O352+P352</f>
        <v>50</v>
      </c>
      <c r="R352" s="448">
        <v>47.9886</v>
      </c>
      <c r="S352" s="444">
        <f t="shared" si="69"/>
        <v>95.9772</v>
      </c>
    </row>
    <row r="353" spans="1:19" s="1" customFormat="1" ht="15.75" customHeight="1" hidden="1">
      <c r="A353" s="388"/>
      <c r="B353" s="30"/>
      <c r="C353" s="79"/>
      <c r="D353" s="79"/>
      <c r="E353" s="80"/>
      <c r="F353" s="81" t="s">
        <v>239</v>
      </c>
      <c r="G353" s="97">
        <v>50</v>
      </c>
      <c r="H353" s="111">
        <v>100</v>
      </c>
      <c r="I353" s="111">
        <v>131</v>
      </c>
      <c r="J353" s="97">
        <v>50</v>
      </c>
      <c r="K353" s="269">
        <v>50</v>
      </c>
      <c r="L353" s="315"/>
      <c r="M353" s="82"/>
      <c r="N353" s="89"/>
      <c r="O353" s="89"/>
      <c r="P353" s="275"/>
      <c r="Q353" s="487"/>
      <c r="R353" s="448"/>
      <c r="S353" s="465" t="e">
        <f t="shared" si="69"/>
        <v>#DIV/0!</v>
      </c>
    </row>
    <row r="354" spans="1:19" s="1" customFormat="1" ht="25.5">
      <c r="A354" s="384" t="s">
        <v>154</v>
      </c>
      <c r="B354" s="71" t="s">
        <v>299</v>
      </c>
      <c r="C354" s="72" t="s">
        <v>219</v>
      </c>
      <c r="D354" s="72" t="s">
        <v>203</v>
      </c>
      <c r="E354" s="73" t="s">
        <v>300</v>
      </c>
      <c r="F354" s="74"/>
      <c r="G354" s="96">
        <f aca="true" t="shared" si="71" ref="G354:N354">G356+G387+G388+G389</f>
        <v>295</v>
      </c>
      <c r="H354" s="96">
        <f t="shared" si="71"/>
        <v>350</v>
      </c>
      <c r="I354" s="96">
        <f t="shared" si="71"/>
        <v>295</v>
      </c>
      <c r="J354" s="96">
        <f t="shared" si="71"/>
        <v>0</v>
      </c>
      <c r="K354" s="287">
        <f t="shared" si="71"/>
        <v>295</v>
      </c>
      <c r="L354" s="287">
        <f t="shared" si="71"/>
        <v>0</v>
      </c>
      <c r="M354" s="287">
        <f t="shared" si="71"/>
        <v>0</v>
      </c>
      <c r="N354" s="287">
        <f t="shared" si="71"/>
        <v>295</v>
      </c>
      <c r="O354" s="287">
        <f>O356+O387+O388+O389</f>
        <v>0</v>
      </c>
      <c r="P354" s="287">
        <f>P356+P387+P388+P389</f>
        <v>0</v>
      </c>
      <c r="Q354" s="474">
        <f>Q356+Q387+Q388+Q389</f>
        <v>295</v>
      </c>
      <c r="R354" s="449">
        <f>R356+R387+R388+R389</f>
        <v>162.996</v>
      </c>
      <c r="S354" s="465">
        <f t="shared" si="69"/>
        <v>55.2528813559322</v>
      </c>
    </row>
    <row r="355" spans="1:19" s="1" customFormat="1" ht="12.75" hidden="1">
      <c r="A355" s="385" t="s">
        <v>208</v>
      </c>
      <c r="B355" s="71" t="s">
        <v>299</v>
      </c>
      <c r="C355" s="76" t="s">
        <v>219</v>
      </c>
      <c r="D355" s="76" t="s">
        <v>203</v>
      </c>
      <c r="E355" s="77" t="s">
        <v>300</v>
      </c>
      <c r="F355" s="78" t="s">
        <v>209</v>
      </c>
      <c r="G355" s="89">
        <f>G356</f>
        <v>295</v>
      </c>
      <c r="H355" s="82">
        <f>H356</f>
        <v>350</v>
      </c>
      <c r="I355" s="82">
        <f>I356</f>
        <v>295</v>
      </c>
      <c r="J355" s="89">
        <f>J356</f>
        <v>-158.2879</v>
      </c>
      <c r="K355" s="275">
        <f>K356</f>
        <v>136.71</v>
      </c>
      <c r="L355" s="315"/>
      <c r="M355" s="82"/>
      <c r="N355" s="89"/>
      <c r="O355" s="89"/>
      <c r="P355" s="275"/>
      <c r="Q355" s="487"/>
      <c r="R355" s="448"/>
      <c r="S355" s="465" t="e">
        <f t="shared" si="69"/>
        <v>#DIV/0!</v>
      </c>
    </row>
    <row r="356" spans="1:19" s="1" customFormat="1" ht="15.75" customHeight="1">
      <c r="A356" s="437" t="s">
        <v>109</v>
      </c>
      <c r="B356" s="141" t="s">
        <v>299</v>
      </c>
      <c r="C356" s="76" t="s">
        <v>219</v>
      </c>
      <c r="D356" s="76" t="s">
        <v>203</v>
      </c>
      <c r="E356" s="77" t="s">
        <v>300</v>
      </c>
      <c r="F356" s="81" t="s">
        <v>106</v>
      </c>
      <c r="G356" s="208">
        <v>295</v>
      </c>
      <c r="H356" s="158">
        <v>350</v>
      </c>
      <c r="I356" s="158">
        <v>295</v>
      </c>
      <c r="J356" s="158">
        <f>-150-8.2879</f>
        <v>-158.2879</v>
      </c>
      <c r="K356" s="294">
        <v>136.71</v>
      </c>
      <c r="L356" s="315"/>
      <c r="M356" s="82"/>
      <c r="N356" s="89">
        <f>K356+L356+M356</f>
        <v>136.71</v>
      </c>
      <c r="O356" s="89"/>
      <c r="P356" s="275"/>
      <c r="Q356" s="487">
        <f>N356+O356+P356</f>
        <v>136.71</v>
      </c>
      <c r="R356" s="448">
        <v>136.7081</v>
      </c>
      <c r="S356" s="444">
        <f t="shared" si="69"/>
        <v>99.99861019676688</v>
      </c>
    </row>
    <row r="357" spans="1:19" s="1" customFormat="1" ht="24.75" customHeight="1" hidden="1" thickBot="1">
      <c r="A357" s="384" t="s">
        <v>301</v>
      </c>
      <c r="B357" s="24" t="s">
        <v>202</v>
      </c>
      <c r="C357" s="25" t="s">
        <v>219</v>
      </c>
      <c r="D357" s="25" t="s">
        <v>302</v>
      </c>
      <c r="E357" s="26" t="s">
        <v>200</v>
      </c>
      <c r="F357" s="27" t="s">
        <v>201</v>
      </c>
      <c r="G357" s="271">
        <f>G358</f>
        <v>0</v>
      </c>
      <c r="H357" s="264">
        <f>H358</f>
        <v>0</v>
      </c>
      <c r="I357" s="264">
        <f>I358</f>
        <v>0</v>
      </c>
      <c r="J357" s="264">
        <f>J358</f>
        <v>0</v>
      </c>
      <c r="K357" s="294">
        <f aca="true" t="shared" si="72" ref="K357:K388">G357+J357</f>
        <v>0</v>
      </c>
      <c r="L357" s="315"/>
      <c r="M357" s="82"/>
      <c r="N357" s="89">
        <f aca="true" t="shared" si="73" ref="N357:R389">K357+L357+M357</f>
        <v>0</v>
      </c>
      <c r="O357" s="89">
        <f t="shared" si="73"/>
        <v>0</v>
      </c>
      <c r="P357" s="275">
        <f t="shared" si="73"/>
        <v>0</v>
      </c>
      <c r="Q357" s="487">
        <f t="shared" si="73"/>
        <v>0</v>
      </c>
      <c r="R357" s="448">
        <f t="shared" si="73"/>
        <v>0</v>
      </c>
      <c r="S357" s="444" t="e">
        <f t="shared" si="69"/>
        <v>#DIV/0!</v>
      </c>
    </row>
    <row r="358" spans="1:19" s="1" customFormat="1" ht="15" customHeight="1" hidden="1" thickBot="1">
      <c r="A358" s="384" t="s">
        <v>291</v>
      </c>
      <c r="B358" s="24" t="s">
        <v>202</v>
      </c>
      <c r="C358" s="25" t="s">
        <v>219</v>
      </c>
      <c r="D358" s="25" t="s">
        <v>302</v>
      </c>
      <c r="E358" s="26" t="s">
        <v>292</v>
      </c>
      <c r="F358" s="27" t="s">
        <v>201</v>
      </c>
      <c r="G358" s="271">
        <f>G359+G362</f>
        <v>0</v>
      </c>
      <c r="H358" s="264">
        <f>H359+H362</f>
        <v>0</v>
      </c>
      <c r="I358" s="264">
        <f>I359+I362</f>
        <v>0</v>
      </c>
      <c r="J358" s="264">
        <f>J359+J362</f>
        <v>0</v>
      </c>
      <c r="K358" s="294">
        <f t="shared" si="72"/>
        <v>0</v>
      </c>
      <c r="L358" s="315"/>
      <c r="M358" s="82"/>
      <c r="N358" s="89">
        <f t="shared" si="73"/>
        <v>0</v>
      </c>
      <c r="O358" s="89">
        <f t="shared" si="73"/>
        <v>0</v>
      </c>
      <c r="P358" s="275">
        <f t="shared" si="73"/>
        <v>0</v>
      </c>
      <c r="Q358" s="487">
        <f t="shared" si="73"/>
        <v>0</v>
      </c>
      <c r="R358" s="448">
        <f t="shared" si="73"/>
        <v>0</v>
      </c>
      <c r="S358" s="444" t="e">
        <f t="shared" si="69"/>
        <v>#DIV/0!</v>
      </c>
    </row>
    <row r="359" spans="1:19" s="1" customFormat="1" ht="2.25" customHeight="1" hidden="1">
      <c r="A359" s="438" t="s">
        <v>303</v>
      </c>
      <c r="B359" s="99" t="s">
        <v>202</v>
      </c>
      <c r="C359" s="112" t="s">
        <v>219</v>
      </c>
      <c r="D359" s="112" t="s">
        <v>302</v>
      </c>
      <c r="E359" s="113" t="s">
        <v>304</v>
      </c>
      <c r="F359" s="104" t="s">
        <v>201</v>
      </c>
      <c r="G359" s="271">
        <f aca="true" t="shared" si="74" ref="G359:J360">G360</f>
        <v>0</v>
      </c>
      <c r="H359" s="264">
        <f t="shared" si="74"/>
        <v>0</v>
      </c>
      <c r="I359" s="264">
        <f t="shared" si="74"/>
        <v>0</v>
      </c>
      <c r="J359" s="264">
        <f t="shared" si="74"/>
        <v>0</v>
      </c>
      <c r="K359" s="294">
        <f t="shared" si="72"/>
        <v>0</v>
      </c>
      <c r="L359" s="315"/>
      <c r="M359" s="82"/>
      <c r="N359" s="89">
        <f t="shared" si="73"/>
        <v>0</v>
      </c>
      <c r="O359" s="89">
        <f t="shared" si="73"/>
        <v>0</v>
      </c>
      <c r="P359" s="275">
        <f t="shared" si="73"/>
        <v>0</v>
      </c>
      <c r="Q359" s="487">
        <f t="shared" si="73"/>
        <v>0</v>
      </c>
      <c r="R359" s="448">
        <f t="shared" si="73"/>
        <v>0</v>
      </c>
      <c r="S359" s="444" t="e">
        <f t="shared" si="69"/>
        <v>#DIV/0!</v>
      </c>
    </row>
    <row r="360" spans="1:19" s="1" customFormat="1" ht="12.75" hidden="1">
      <c r="A360" s="385" t="s">
        <v>208</v>
      </c>
      <c r="B360" s="99" t="s">
        <v>202</v>
      </c>
      <c r="C360" s="112" t="s">
        <v>219</v>
      </c>
      <c r="D360" s="112" t="s">
        <v>302</v>
      </c>
      <c r="E360" s="113" t="s">
        <v>304</v>
      </c>
      <c r="F360" s="104" t="s">
        <v>209</v>
      </c>
      <c r="G360" s="208">
        <f t="shared" si="74"/>
        <v>0</v>
      </c>
      <c r="H360" s="158">
        <f t="shared" si="74"/>
        <v>0</v>
      </c>
      <c r="I360" s="158">
        <f t="shared" si="74"/>
        <v>0</v>
      </c>
      <c r="J360" s="158">
        <f t="shared" si="74"/>
        <v>0</v>
      </c>
      <c r="K360" s="294">
        <f t="shared" si="72"/>
        <v>0</v>
      </c>
      <c r="L360" s="315"/>
      <c r="M360" s="82"/>
      <c r="N360" s="89">
        <f t="shared" si="73"/>
        <v>0</v>
      </c>
      <c r="O360" s="89">
        <f t="shared" si="73"/>
        <v>0</v>
      </c>
      <c r="P360" s="275">
        <f t="shared" si="73"/>
        <v>0</v>
      </c>
      <c r="Q360" s="487">
        <f t="shared" si="73"/>
        <v>0</v>
      </c>
      <c r="R360" s="448">
        <f t="shared" si="73"/>
        <v>0</v>
      </c>
      <c r="S360" s="444" t="e">
        <f t="shared" si="69"/>
        <v>#DIV/0!</v>
      </c>
    </row>
    <row r="361" spans="1:19" s="1" customFormat="1" ht="12.75" hidden="1">
      <c r="A361" s="385"/>
      <c r="B361" s="99"/>
      <c r="C361" s="112"/>
      <c r="D361" s="112"/>
      <c r="E361" s="113"/>
      <c r="F361" s="104" t="s">
        <v>236</v>
      </c>
      <c r="G361" s="208"/>
      <c r="H361" s="158"/>
      <c r="I361" s="158"/>
      <c r="J361" s="158"/>
      <c r="K361" s="294">
        <f t="shared" si="72"/>
        <v>0</v>
      </c>
      <c r="L361" s="315"/>
      <c r="M361" s="82"/>
      <c r="N361" s="89">
        <f t="shared" si="73"/>
        <v>0</v>
      </c>
      <c r="O361" s="89">
        <f t="shared" si="73"/>
        <v>0</v>
      </c>
      <c r="P361" s="275">
        <f t="shared" si="73"/>
        <v>0</v>
      </c>
      <c r="Q361" s="487">
        <f t="shared" si="73"/>
        <v>0</v>
      </c>
      <c r="R361" s="448">
        <f t="shared" si="73"/>
        <v>0</v>
      </c>
      <c r="S361" s="444" t="e">
        <f t="shared" si="69"/>
        <v>#DIV/0!</v>
      </c>
    </row>
    <row r="362" spans="1:19" s="1" customFormat="1" ht="25.5" hidden="1">
      <c r="A362" s="438" t="s">
        <v>305</v>
      </c>
      <c r="B362" s="71" t="s">
        <v>202</v>
      </c>
      <c r="C362" s="72" t="s">
        <v>219</v>
      </c>
      <c r="D362" s="72" t="s">
        <v>302</v>
      </c>
      <c r="E362" s="73" t="s">
        <v>306</v>
      </c>
      <c r="F362" s="74" t="s">
        <v>201</v>
      </c>
      <c r="G362" s="271">
        <f>G385</f>
        <v>0</v>
      </c>
      <c r="H362" s="264">
        <f>H385</f>
        <v>0</v>
      </c>
      <c r="I362" s="264">
        <f>I385</f>
        <v>0</v>
      </c>
      <c r="J362" s="264">
        <f>J385</f>
        <v>0</v>
      </c>
      <c r="K362" s="294">
        <f t="shared" si="72"/>
        <v>0</v>
      </c>
      <c r="L362" s="315"/>
      <c r="M362" s="82"/>
      <c r="N362" s="89">
        <f t="shared" si="73"/>
        <v>0</v>
      </c>
      <c r="O362" s="89">
        <f t="shared" si="73"/>
        <v>0</v>
      </c>
      <c r="P362" s="275">
        <f t="shared" si="73"/>
        <v>0</v>
      </c>
      <c r="Q362" s="487">
        <f t="shared" si="73"/>
        <v>0</v>
      </c>
      <c r="R362" s="448">
        <f t="shared" si="73"/>
        <v>0</v>
      </c>
      <c r="S362" s="444" t="e">
        <f t="shared" si="69"/>
        <v>#DIV/0!</v>
      </c>
    </row>
    <row r="363" spans="1:19" s="1" customFormat="1" ht="0.75" customHeight="1" hidden="1">
      <c r="A363" s="385" t="s">
        <v>307</v>
      </c>
      <c r="B363" s="71" t="s">
        <v>202</v>
      </c>
      <c r="C363" s="76" t="s">
        <v>219</v>
      </c>
      <c r="D363" s="76" t="s">
        <v>302</v>
      </c>
      <c r="E363" s="77" t="s">
        <v>304</v>
      </c>
      <c r="F363" s="78" t="s">
        <v>209</v>
      </c>
      <c r="G363" s="271">
        <f>G364</f>
        <v>0</v>
      </c>
      <c r="H363" s="264">
        <f>H364</f>
        <v>0</v>
      </c>
      <c r="I363" s="264">
        <f>I364</f>
        <v>0</v>
      </c>
      <c r="J363" s="264">
        <f>J364</f>
        <v>0</v>
      </c>
      <c r="K363" s="294">
        <f t="shared" si="72"/>
        <v>0</v>
      </c>
      <c r="L363" s="315"/>
      <c r="M363" s="82"/>
      <c r="N363" s="89">
        <f t="shared" si="73"/>
        <v>0</v>
      </c>
      <c r="O363" s="89">
        <f t="shared" si="73"/>
        <v>0</v>
      </c>
      <c r="P363" s="275">
        <f t="shared" si="73"/>
        <v>0</v>
      </c>
      <c r="Q363" s="487">
        <f t="shared" si="73"/>
        <v>0</v>
      </c>
      <c r="R363" s="448">
        <f t="shared" si="73"/>
        <v>0</v>
      </c>
      <c r="S363" s="444" t="e">
        <f t="shared" si="69"/>
        <v>#DIV/0!</v>
      </c>
    </row>
    <row r="364" spans="1:19" s="1" customFormat="1" ht="9" customHeight="1" hidden="1">
      <c r="A364" s="439" t="s">
        <v>279</v>
      </c>
      <c r="B364" s="71" t="s">
        <v>202</v>
      </c>
      <c r="C364" s="76" t="s">
        <v>219</v>
      </c>
      <c r="D364" s="76" t="s">
        <v>302</v>
      </c>
      <c r="E364" s="77" t="s">
        <v>304</v>
      </c>
      <c r="F364" s="78" t="s">
        <v>209</v>
      </c>
      <c r="G364" s="271"/>
      <c r="H364" s="264"/>
      <c r="I364" s="264"/>
      <c r="J364" s="264"/>
      <c r="K364" s="294">
        <f t="shared" si="72"/>
        <v>0</v>
      </c>
      <c r="L364" s="315"/>
      <c r="M364" s="82"/>
      <c r="N364" s="89">
        <f t="shared" si="73"/>
        <v>0</v>
      </c>
      <c r="O364" s="89">
        <f t="shared" si="73"/>
        <v>0</v>
      </c>
      <c r="P364" s="275">
        <f t="shared" si="73"/>
        <v>0</v>
      </c>
      <c r="Q364" s="487">
        <f t="shared" si="73"/>
        <v>0</v>
      </c>
      <c r="R364" s="448">
        <f t="shared" si="73"/>
        <v>0</v>
      </c>
      <c r="S364" s="444" t="e">
        <f t="shared" si="69"/>
        <v>#DIV/0!</v>
      </c>
    </row>
    <row r="365" spans="1:19" s="1" customFormat="1" ht="9" customHeight="1" hidden="1">
      <c r="A365" s="384" t="s">
        <v>295</v>
      </c>
      <c r="B365" s="71"/>
      <c r="C365" s="72" t="s">
        <v>219</v>
      </c>
      <c r="D365" s="72" t="s">
        <v>199</v>
      </c>
      <c r="E365" s="73" t="s">
        <v>200</v>
      </c>
      <c r="F365" s="74" t="s">
        <v>201</v>
      </c>
      <c r="G365" s="271">
        <f>G366+G379</f>
        <v>50</v>
      </c>
      <c r="H365" s="264">
        <f>H366+H379</f>
        <v>100</v>
      </c>
      <c r="I365" s="264">
        <f>I366+I379</f>
        <v>131</v>
      </c>
      <c r="J365" s="264">
        <f>J366+J379</f>
        <v>0</v>
      </c>
      <c r="K365" s="294">
        <f t="shared" si="72"/>
        <v>50</v>
      </c>
      <c r="L365" s="315"/>
      <c r="M365" s="82"/>
      <c r="N365" s="89">
        <f t="shared" si="73"/>
        <v>50</v>
      </c>
      <c r="O365" s="89">
        <f t="shared" si="73"/>
        <v>50</v>
      </c>
      <c r="P365" s="275">
        <f t="shared" si="73"/>
        <v>100</v>
      </c>
      <c r="Q365" s="487">
        <f t="shared" si="73"/>
        <v>200</v>
      </c>
      <c r="R365" s="448">
        <f t="shared" si="73"/>
        <v>350</v>
      </c>
      <c r="S365" s="444">
        <f t="shared" si="69"/>
        <v>175</v>
      </c>
    </row>
    <row r="366" spans="1:19" s="1" customFormat="1" ht="9" customHeight="1" hidden="1">
      <c r="A366" s="384" t="s">
        <v>210</v>
      </c>
      <c r="B366" s="71"/>
      <c r="C366" s="72" t="s">
        <v>219</v>
      </c>
      <c r="D366" s="72" t="s">
        <v>199</v>
      </c>
      <c r="E366" s="73" t="s">
        <v>200</v>
      </c>
      <c r="F366" s="74" t="s">
        <v>201</v>
      </c>
      <c r="G366" s="271">
        <f>G367+G371+G378</f>
        <v>50</v>
      </c>
      <c r="H366" s="264">
        <f>H367+H371+H378</f>
        <v>100</v>
      </c>
      <c r="I366" s="264">
        <f>I367+I371+I378</f>
        <v>131</v>
      </c>
      <c r="J366" s="264">
        <f>J367+J371+J378</f>
        <v>0</v>
      </c>
      <c r="K366" s="294">
        <f t="shared" si="72"/>
        <v>50</v>
      </c>
      <c r="L366" s="315"/>
      <c r="M366" s="82"/>
      <c r="N366" s="89">
        <f t="shared" si="73"/>
        <v>50</v>
      </c>
      <c r="O366" s="89">
        <f t="shared" si="73"/>
        <v>50</v>
      </c>
      <c r="P366" s="275">
        <f t="shared" si="73"/>
        <v>100</v>
      </c>
      <c r="Q366" s="487">
        <f t="shared" si="73"/>
        <v>200</v>
      </c>
      <c r="R366" s="448">
        <f t="shared" si="73"/>
        <v>350</v>
      </c>
      <c r="S366" s="444">
        <f t="shared" si="69"/>
        <v>175</v>
      </c>
    </row>
    <row r="367" spans="1:19" s="1" customFormat="1" ht="9" customHeight="1" hidden="1">
      <c r="A367" s="384" t="s">
        <v>211</v>
      </c>
      <c r="B367" s="71"/>
      <c r="C367" s="72" t="s">
        <v>219</v>
      </c>
      <c r="D367" s="72" t="s">
        <v>199</v>
      </c>
      <c r="E367" s="73" t="s">
        <v>200</v>
      </c>
      <c r="F367" s="74" t="s">
        <v>201</v>
      </c>
      <c r="G367" s="271">
        <f>SUM(G368:G370)</f>
        <v>0</v>
      </c>
      <c r="H367" s="264">
        <f>SUM(H368:H370)</f>
        <v>0</v>
      </c>
      <c r="I367" s="264">
        <f>SUM(I368:I370)</f>
        <v>0</v>
      </c>
      <c r="J367" s="264">
        <f>SUM(J368:J370)</f>
        <v>0</v>
      </c>
      <c r="K367" s="294">
        <f t="shared" si="72"/>
        <v>0</v>
      </c>
      <c r="L367" s="315"/>
      <c r="M367" s="82"/>
      <c r="N367" s="89">
        <f t="shared" si="73"/>
        <v>0</v>
      </c>
      <c r="O367" s="89">
        <f t="shared" si="73"/>
        <v>0</v>
      </c>
      <c r="P367" s="275">
        <f t="shared" si="73"/>
        <v>0</v>
      </c>
      <c r="Q367" s="487">
        <f t="shared" si="73"/>
        <v>0</v>
      </c>
      <c r="R367" s="448">
        <f t="shared" si="73"/>
        <v>0</v>
      </c>
      <c r="S367" s="444" t="e">
        <f t="shared" si="69"/>
        <v>#DIV/0!</v>
      </c>
    </row>
    <row r="368" spans="1:19" s="1" customFormat="1" ht="9" customHeight="1" hidden="1">
      <c r="A368" s="384" t="s">
        <v>212</v>
      </c>
      <c r="B368" s="71"/>
      <c r="C368" s="72" t="s">
        <v>219</v>
      </c>
      <c r="D368" s="72" t="s">
        <v>199</v>
      </c>
      <c r="E368" s="73" t="s">
        <v>200</v>
      </c>
      <c r="F368" s="74" t="s">
        <v>201</v>
      </c>
      <c r="G368" s="271">
        <v>0</v>
      </c>
      <c r="H368" s="264">
        <v>0</v>
      </c>
      <c r="I368" s="264">
        <v>0</v>
      </c>
      <c r="J368" s="264">
        <v>0</v>
      </c>
      <c r="K368" s="294">
        <f t="shared" si="72"/>
        <v>0</v>
      </c>
      <c r="L368" s="315"/>
      <c r="M368" s="82"/>
      <c r="N368" s="89">
        <f t="shared" si="73"/>
        <v>0</v>
      </c>
      <c r="O368" s="89">
        <f t="shared" si="73"/>
        <v>0</v>
      </c>
      <c r="P368" s="275">
        <f t="shared" si="73"/>
        <v>0</v>
      </c>
      <c r="Q368" s="487">
        <f t="shared" si="73"/>
        <v>0</v>
      </c>
      <c r="R368" s="448">
        <f t="shared" si="73"/>
        <v>0</v>
      </c>
      <c r="S368" s="444" t="e">
        <f t="shared" si="69"/>
        <v>#DIV/0!</v>
      </c>
    </row>
    <row r="369" spans="1:19" s="1" customFormat="1" ht="9" customHeight="1" hidden="1">
      <c r="A369" s="384" t="s">
        <v>213</v>
      </c>
      <c r="B369" s="71"/>
      <c r="C369" s="72" t="s">
        <v>219</v>
      </c>
      <c r="D369" s="72" t="s">
        <v>199</v>
      </c>
      <c r="E369" s="73" t="s">
        <v>200</v>
      </c>
      <c r="F369" s="74" t="s">
        <v>201</v>
      </c>
      <c r="G369" s="271">
        <v>0</v>
      </c>
      <c r="H369" s="264">
        <v>0</v>
      </c>
      <c r="I369" s="264">
        <v>0</v>
      </c>
      <c r="J369" s="264">
        <v>0</v>
      </c>
      <c r="K369" s="294">
        <f t="shared" si="72"/>
        <v>0</v>
      </c>
      <c r="L369" s="315"/>
      <c r="M369" s="82"/>
      <c r="N369" s="89">
        <f t="shared" si="73"/>
        <v>0</v>
      </c>
      <c r="O369" s="89">
        <f t="shared" si="73"/>
        <v>0</v>
      </c>
      <c r="P369" s="275">
        <f t="shared" si="73"/>
        <v>0</v>
      </c>
      <c r="Q369" s="487">
        <f t="shared" si="73"/>
        <v>0</v>
      </c>
      <c r="R369" s="448">
        <f t="shared" si="73"/>
        <v>0</v>
      </c>
      <c r="S369" s="444" t="e">
        <f t="shared" si="69"/>
        <v>#DIV/0!</v>
      </c>
    </row>
    <row r="370" spans="1:19" s="1" customFormat="1" ht="9" customHeight="1" hidden="1">
      <c r="A370" s="384" t="s">
        <v>214</v>
      </c>
      <c r="B370" s="71"/>
      <c r="C370" s="72" t="s">
        <v>219</v>
      </c>
      <c r="D370" s="72" t="s">
        <v>199</v>
      </c>
      <c r="E370" s="73" t="s">
        <v>200</v>
      </c>
      <c r="F370" s="74" t="s">
        <v>201</v>
      </c>
      <c r="G370" s="271">
        <v>0</v>
      </c>
      <c r="H370" s="264">
        <v>0</v>
      </c>
      <c r="I370" s="264">
        <v>0</v>
      </c>
      <c r="J370" s="264">
        <v>0</v>
      </c>
      <c r="K370" s="294">
        <f t="shared" si="72"/>
        <v>0</v>
      </c>
      <c r="L370" s="315"/>
      <c r="M370" s="82"/>
      <c r="N370" s="89">
        <f t="shared" si="73"/>
        <v>0</v>
      </c>
      <c r="O370" s="89">
        <f t="shared" si="73"/>
        <v>0</v>
      </c>
      <c r="P370" s="275">
        <f t="shared" si="73"/>
        <v>0</v>
      </c>
      <c r="Q370" s="487">
        <f t="shared" si="73"/>
        <v>0</v>
      </c>
      <c r="R370" s="448">
        <f t="shared" si="73"/>
        <v>0</v>
      </c>
      <c r="S370" s="444" t="e">
        <f t="shared" si="69"/>
        <v>#DIV/0!</v>
      </c>
    </row>
    <row r="371" spans="1:19" s="1" customFormat="1" ht="9" customHeight="1" hidden="1">
      <c r="A371" s="384" t="s">
        <v>222</v>
      </c>
      <c r="B371" s="71"/>
      <c r="C371" s="72" t="s">
        <v>219</v>
      </c>
      <c r="D371" s="72" t="s">
        <v>199</v>
      </c>
      <c r="E371" s="73" t="s">
        <v>200</v>
      </c>
      <c r="F371" s="74" t="s">
        <v>201</v>
      </c>
      <c r="G371" s="271">
        <f>SUM(G372:G377)</f>
        <v>50</v>
      </c>
      <c r="H371" s="264">
        <f>SUM(H372:H377)</f>
        <v>100</v>
      </c>
      <c r="I371" s="264">
        <f>SUM(I372:I377)</f>
        <v>131</v>
      </c>
      <c r="J371" s="264">
        <f>SUM(J372:J377)</f>
        <v>0</v>
      </c>
      <c r="K371" s="294">
        <f t="shared" si="72"/>
        <v>50</v>
      </c>
      <c r="L371" s="315"/>
      <c r="M371" s="82"/>
      <c r="N371" s="89">
        <f t="shared" si="73"/>
        <v>50</v>
      </c>
      <c r="O371" s="89">
        <f t="shared" si="73"/>
        <v>50</v>
      </c>
      <c r="P371" s="275">
        <f t="shared" si="73"/>
        <v>100</v>
      </c>
      <c r="Q371" s="487">
        <f t="shared" si="73"/>
        <v>200</v>
      </c>
      <c r="R371" s="448">
        <f t="shared" si="73"/>
        <v>350</v>
      </c>
      <c r="S371" s="444">
        <f t="shared" si="69"/>
        <v>175</v>
      </c>
    </row>
    <row r="372" spans="1:19" s="1" customFormat="1" ht="9" customHeight="1" hidden="1">
      <c r="A372" s="384" t="s">
        <v>223</v>
      </c>
      <c r="B372" s="71"/>
      <c r="C372" s="72" t="s">
        <v>219</v>
      </c>
      <c r="D372" s="72" t="s">
        <v>199</v>
      </c>
      <c r="E372" s="73" t="s">
        <v>200</v>
      </c>
      <c r="F372" s="74" t="s">
        <v>201</v>
      </c>
      <c r="G372" s="271">
        <v>0</v>
      </c>
      <c r="H372" s="264">
        <v>0</v>
      </c>
      <c r="I372" s="264">
        <v>0</v>
      </c>
      <c r="J372" s="264">
        <v>0</v>
      </c>
      <c r="K372" s="294">
        <f t="shared" si="72"/>
        <v>0</v>
      </c>
      <c r="L372" s="315"/>
      <c r="M372" s="82"/>
      <c r="N372" s="89">
        <f t="shared" si="73"/>
        <v>0</v>
      </c>
      <c r="O372" s="89">
        <f t="shared" si="73"/>
        <v>0</v>
      </c>
      <c r="P372" s="275">
        <f t="shared" si="73"/>
        <v>0</v>
      </c>
      <c r="Q372" s="487">
        <f t="shared" si="73"/>
        <v>0</v>
      </c>
      <c r="R372" s="448">
        <f t="shared" si="73"/>
        <v>0</v>
      </c>
      <c r="S372" s="444" t="e">
        <f t="shared" si="69"/>
        <v>#DIV/0!</v>
      </c>
    </row>
    <row r="373" spans="1:19" s="1" customFormat="1" ht="9" customHeight="1" hidden="1">
      <c r="A373" s="384" t="s">
        <v>224</v>
      </c>
      <c r="B373" s="71"/>
      <c r="C373" s="72" t="s">
        <v>219</v>
      </c>
      <c r="D373" s="72" t="s">
        <v>199</v>
      </c>
      <c r="E373" s="73" t="s">
        <v>200</v>
      </c>
      <c r="F373" s="74" t="s">
        <v>201</v>
      </c>
      <c r="G373" s="271">
        <v>0</v>
      </c>
      <c r="H373" s="264">
        <v>0</v>
      </c>
      <c r="I373" s="264">
        <v>0</v>
      </c>
      <c r="J373" s="264">
        <v>0</v>
      </c>
      <c r="K373" s="294">
        <f t="shared" si="72"/>
        <v>0</v>
      </c>
      <c r="L373" s="315"/>
      <c r="M373" s="82"/>
      <c r="N373" s="89">
        <f t="shared" si="73"/>
        <v>0</v>
      </c>
      <c r="O373" s="89">
        <f t="shared" si="73"/>
        <v>0</v>
      </c>
      <c r="P373" s="275">
        <f t="shared" si="73"/>
        <v>0</v>
      </c>
      <c r="Q373" s="487">
        <f t="shared" si="73"/>
        <v>0</v>
      </c>
      <c r="R373" s="448">
        <f t="shared" si="73"/>
        <v>0</v>
      </c>
      <c r="S373" s="444" t="e">
        <f t="shared" si="69"/>
        <v>#DIV/0!</v>
      </c>
    </row>
    <row r="374" spans="1:19" s="1" customFormat="1" ht="9" customHeight="1" hidden="1">
      <c r="A374" s="384" t="s">
        <v>242</v>
      </c>
      <c r="B374" s="71"/>
      <c r="C374" s="72" t="s">
        <v>219</v>
      </c>
      <c r="D374" s="72" t="s">
        <v>199</v>
      </c>
      <c r="E374" s="73" t="s">
        <v>200</v>
      </c>
      <c r="F374" s="74" t="s">
        <v>201</v>
      </c>
      <c r="G374" s="271">
        <v>0</v>
      </c>
      <c r="H374" s="264">
        <v>0</v>
      </c>
      <c r="I374" s="264">
        <v>0</v>
      </c>
      <c r="J374" s="264">
        <v>0</v>
      </c>
      <c r="K374" s="294">
        <f t="shared" si="72"/>
        <v>0</v>
      </c>
      <c r="L374" s="315"/>
      <c r="M374" s="82"/>
      <c r="N374" s="89">
        <f t="shared" si="73"/>
        <v>0</v>
      </c>
      <c r="O374" s="89">
        <f t="shared" si="73"/>
        <v>0</v>
      </c>
      <c r="P374" s="275">
        <f t="shared" si="73"/>
        <v>0</v>
      </c>
      <c r="Q374" s="487">
        <f t="shared" si="73"/>
        <v>0</v>
      </c>
      <c r="R374" s="448">
        <f t="shared" si="73"/>
        <v>0</v>
      </c>
      <c r="S374" s="444" t="e">
        <f t="shared" si="69"/>
        <v>#DIV/0!</v>
      </c>
    </row>
    <row r="375" spans="1:19" s="1" customFormat="1" ht="9" customHeight="1" hidden="1">
      <c r="A375" s="384" t="s">
        <v>243</v>
      </c>
      <c r="B375" s="71"/>
      <c r="C375" s="72" t="s">
        <v>219</v>
      </c>
      <c r="D375" s="72" t="s">
        <v>199</v>
      </c>
      <c r="E375" s="73" t="s">
        <v>200</v>
      </c>
      <c r="F375" s="74" t="s">
        <v>201</v>
      </c>
      <c r="G375" s="271">
        <v>0</v>
      </c>
      <c r="H375" s="264">
        <v>0</v>
      </c>
      <c r="I375" s="264">
        <v>0</v>
      </c>
      <c r="J375" s="264">
        <v>0</v>
      </c>
      <c r="K375" s="294">
        <f t="shared" si="72"/>
        <v>0</v>
      </c>
      <c r="L375" s="315"/>
      <c r="M375" s="82"/>
      <c r="N375" s="89">
        <f t="shared" si="73"/>
        <v>0</v>
      </c>
      <c r="O375" s="89">
        <f t="shared" si="73"/>
        <v>0</v>
      </c>
      <c r="P375" s="275">
        <f t="shared" si="73"/>
        <v>0</v>
      </c>
      <c r="Q375" s="487">
        <f t="shared" si="73"/>
        <v>0</v>
      </c>
      <c r="R375" s="448">
        <f t="shared" si="73"/>
        <v>0</v>
      </c>
      <c r="S375" s="444" t="e">
        <f t="shared" si="69"/>
        <v>#DIV/0!</v>
      </c>
    </row>
    <row r="376" spans="1:19" s="1" customFormat="1" ht="9" customHeight="1" hidden="1">
      <c r="A376" s="384" t="s">
        <v>225</v>
      </c>
      <c r="B376" s="71"/>
      <c r="C376" s="72" t="s">
        <v>219</v>
      </c>
      <c r="D376" s="72" t="s">
        <v>199</v>
      </c>
      <c r="E376" s="73" t="s">
        <v>200</v>
      </c>
      <c r="F376" s="74" t="s">
        <v>201</v>
      </c>
      <c r="G376" s="271">
        <f>G339</f>
        <v>0</v>
      </c>
      <c r="H376" s="264">
        <f>H339</f>
        <v>0</v>
      </c>
      <c r="I376" s="264">
        <f>I339</f>
        <v>0</v>
      </c>
      <c r="J376" s="264">
        <f>J339</f>
        <v>0</v>
      </c>
      <c r="K376" s="294">
        <f t="shared" si="72"/>
        <v>0</v>
      </c>
      <c r="L376" s="315"/>
      <c r="M376" s="82"/>
      <c r="N376" s="89">
        <f t="shared" si="73"/>
        <v>0</v>
      </c>
      <c r="O376" s="89">
        <f t="shared" si="73"/>
        <v>0</v>
      </c>
      <c r="P376" s="275">
        <f t="shared" si="73"/>
        <v>0</v>
      </c>
      <c r="Q376" s="487">
        <f t="shared" si="73"/>
        <v>0</v>
      </c>
      <c r="R376" s="448">
        <f t="shared" si="73"/>
        <v>0</v>
      </c>
      <c r="S376" s="444" t="e">
        <f t="shared" si="69"/>
        <v>#DIV/0!</v>
      </c>
    </row>
    <row r="377" spans="1:19" s="1" customFormat="1" ht="9" customHeight="1" hidden="1">
      <c r="A377" s="384" t="s">
        <v>226</v>
      </c>
      <c r="B377" s="71"/>
      <c r="C377" s="72" t="s">
        <v>219</v>
      </c>
      <c r="D377" s="72" t="s">
        <v>199</v>
      </c>
      <c r="E377" s="73" t="s">
        <v>200</v>
      </c>
      <c r="F377" s="74" t="s">
        <v>201</v>
      </c>
      <c r="G377" s="271">
        <f>G342+G343+G364+G338+G340</f>
        <v>50</v>
      </c>
      <c r="H377" s="264">
        <f>H342+H343+H364+H338+H340</f>
        <v>100</v>
      </c>
      <c r="I377" s="264">
        <f>I342+I343+I364+I338+I340</f>
        <v>131</v>
      </c>
      <c r="J377" s="264">
        <f>J342+J343+J364+J338+J340</f>
        <v>0</v>
      </c>
      <c r="K377" s="294">
        <f t="shared" si="72"/>
        <v>50</v>
      </c>
      <c r="L377" s="315"/>
      <c r="M377" s="82"/>
      <c r="N377" s="89">
        <f t="shared" si="73"/>
        <v>50</v>
      </c>
      <c r="O377" s="89">
        <f t="shared" si="73"/>
        <v>50</v>
      </c>
      <c r="P377" s="275">
        <f t="shared" si="73"/>
        <v>100</v>
      </c>
      <c r="Q377" s="487">
        <f t="shared" si="73"/>
        <v>200</v>
      </c>
      <c r="R377" s="448">
        <f t="shared" si="73"/>
        <v>350</v>
      </c>
      <c r="S377" s="444">
        <f t="shared" si="69"/>
        <v>175</v>
      </c>
    </row>
    <row r="378" spans="1:19" s="1" customFormat="1" ht="9" customHeight="1" hidden="1">
      <c r="A378" s="384" t="s">
        <v>227</v>
      </c>
      <c r="B378" s="71"/>
      <c r="C378" s="72" t="s">
        <v>219</v>
      </c>
      <c r="D378" s="72" t="s">
        <v>199</v>
      </c>
      <c r="E378" s="73" t="s">
        <v>200</v>
      </c>
      <c r="F378" s="74" t="s">
        <v>201</v>
      </c>
      <c r="G378" s="271">
        <f>G344+G345</f>
        <v>0</v>
      </c>
      <c r="H378" s="264">
        <f>H344+H345</f>
        <v>0</v>
      </c>
      <c r="I378" s="264">
        <f>I344+I345</f>
        <v>0</v>
      </c>
      <c r="J378" s="264">
        <f>J344+J345</f>
        <v>0</v>
      </c>
      <c r="K378" s="294">
        <f t="shared" si="72"/>
        <v>0</v>
      </c>
      <c r="L378" s="315"/>
      <c r="M378" s="82"/>
      <c r="N378" s="89">
        <f t="shared" si="73"/>
        <v>0</v>
      </c>
      <c r="O378" s="89">
        <f t="shared" si="73"/>
        <v>0</v>
      </c>
      <c r="P378" s="275">
        <f t="shared" si="73"/>
        <v>0</v>
      </c>
      <c r="Q378" s="487">
        <f t="shared" si="73"/>
        <v>0</v>
      </c>
      <c r="R378" s="448">
        <f t="shared" si="73"/>
        <v>0</v>
      </c>
      <c r="S378" s="444" t="e">
        <f t="shared" si="69"/>
        <v>#DIV/0!</v>
      </c>
    </row>
    <row r="379" spans="1:19" s="1" customFormat="1" ht="9" customHeight="1" hidden="1">
      <c r="A379" s="384" t="s">
        <v>228</v>
      </c>
      <c r="B379" s="71"/>
      <c r="C379" s="72" t="s">
        <v>219</v>
      </c>
      <c r="D379" s="72" t="s">
        <v>199</v>
      </c>
      <c r="E379" s="73" t="s">
        <v>200</v>
      </c>
      <c r="F379" s="74" t="s">
        <v>201</v>
      </c>
      <c r="G379" s="271">
        <f>SUM(G380:G381)</f>
        <v>0</v>
      </c>
      <c r="H379" s="264">
        <f>SUM(H380:H381)</f>
        <v>0</v>
      </c>
      <c r="I379" s="264">
        <f>SUM(I380:I381)</f>
        <v>0</v>
      </c>
      <c r="J379" s="264">
        <f>SUM(J380:J381)</f>
        <v>0</v>
      </c>
      <c r="K379" s="294">
        <f t="shared" si="72"/>
        <v>0</v>
      </c>
      <c r="L379" s="315"/>
      <c r="M379" s="82"/>
      <c r="N379" s="89">
        <f t="shared" si="73"/>
        <v>0</v>
      </c>
      <c r="O379" s="89">
        <f t="shared" si="73"/>
        <v>0</v>
      </c>
      <c r="P379" s="275">
        <f t="shared" si="73"/>
        <v>0</v>
      </c>
      <c r="Q379" s="487">
        <f t="shared" si="73"/>
        <v>0</v>
      </c>
      <c r="R379" s="448">
        <f t="shared" si="73"/>
        <v>0</v>
      </c>
      <c r="S379" s="444" t="e">
        <f t="shared" si="69"/>
        <v>#DIV/0!</v>
      </c>
    </row>
    <row r="380" spans="1:19" s="1" customFormat="1" ht="9" customHeight="1" hidden="1">
      <c r="A380" s="384" t="s">
        <v>229</v>
      </c>
      <c r="B380" s="71"/>
      <c r="C380" s="72" t="s">
        <v>219</v>
      </c>
      <c r="D380" s="72" t="s">
        <v>199</v>
      </c>
      <c r="E380" s="73" t="s">
        <v>200</v>
      </c>
      <c r="F380" s="74" t="s">
        <v>201</v>
      </c>
      <c r="G380" s="271">
        <f>G349</f>
        <v>0</v>
      </c>
      <c r="H380" s="264">
        <f>H349</f>
        <v>0</v>
      </c>
      <c r="I380" s="264">
        <f>I349</f>
        <v>0</v>
      </c>
      <c r="J380" s="264">
        <f>J349</f>
        <v>0</v>
      </c>
      <c r="K380" s="294">
        <f t="shared" si="72"/>
        <v>0</v>
      </c>
      <c r="L380" s="315"/>
      <c r="M380" s="82"/>
      <c r="N380" s="89">
        <f t="shared" si="73"/>
        <v>0</v>
      </c>
      <c r="O380" s="89">
        <f t="shared" si="73"/>
        <v>0</v>
      </c>
      <c r="P380" s="275">
        <f t="shared" si="73"/>
        <v>0</v>
      </c>
      <c r="Q380" s="487">
        <f t="shared" si="73"/>
        <v>0</v>
      </c>
      <c r="R380" s="448">
        <f t="shared" si="73"/>
        <v>0</v>
      </c>
      <c r="S380" s="444" t="e">
        <f t="shared" si="69"/>
        <v>#DIV/0!</v>
      </c>
    </row>
    <row r="381" spans="1:19" s="1" customFormat="1" ht="9" customHeight="1" hidden="1">
      <c r="A381" s="384" t="s">
        <v>230</v>
      </c>
      <c r="B381" s="71"/>
      <c r="C381" s="72" t="s">
        <v>219</v>
      </c>
      <c r="D381" s="72" t="s">
        <v>199</v>
      </c>
      <c r="E381" s="73" t="s">
        <v>200</v>
      </c>
      <c r="F381" s="74" t="s">
        <v>201</v>
      </c>
      <c r="G381" s="271">
        <f>G351</f>
        <v>0</v>
      </c>
      <c r="H381" s="264">
        <f>H351</f>
        <v>0</v>
      </c>
      <c r="I381" s="264">
        <f>I351</f>
        <v>0</v>
      </c>
      <c r="J381" s="264">
        <f>J351</f>
        <v>0</v>
      </c>
      <c r="K381" s="294">
        <f t="shared" si="72"/>
        <v>0</v>
      </c>
      <c r="L381" s="315"/>
      <c r="M381" s="82"/>
      <c r="N381" s="89">
        <f t="shared" si="73"/>
        <v>0</v>
      </c>
      <c r="O381" s="89">
        <f t="shared" si="73"/>
        <v>0</v>
      </c>
      <c r="P381" s="275">
        <f t="shared" si="73"/>
        <v>0</v>
      </c>
      <c r="Q381" s="487">
        <f t="shared" si="73"/>
        <v>0</v>
      </c>
      <c r="R381" s="448">
        <f t="shared" si="73"/>
        <v>0</v>
      </c>
      <c r="S381" s="444" t="e">
        <f t="shared" si="69"/>
        <v>#DIV/0!</v>
      </c>
    </row>
    <row r="382" spans="1:19" s="1" customFormat="1" ht="9" customHeight="1" hidden="1">
      <c r="A382" s="384" t="s">
        <v>288</v>
      </c>
      <c r="B382" s="71"/>
      <c r="C382" s="72" t="s">
        <v>219</v>
      </c>
      <c r="D382" s="72" t="s">
        <v>199</v>
      </c>
      <c r="E382" s="73" t="s">
        <v>200</v>
      </c>
      <c r="F382" s="74" t="s">
        <v>201</v>
      </c>
      <c r="G382" s="271">
        <f aca="true" t="shared" si="75" ref="G382:I383">G357</f>
        <v>0</v>
      </c>
      <c r="H382" s="264">
        <f t="shared" si="75"/>
        <v>0</v>
      </c>
      <c r="I382" s="264">
        <f t="shared" si="75"/>
        <v>0</v>
      </c>
      <c r="J382" s="264">
        <f>J357</f>
        <v>0</v>
      </c>
      <c r="K382" s="294">
        <f t="shared" si="72"/>
        <v>0</v>
      </c>
      <c r="L382" s="315"/>
      <c r="M382" s="82"/>
      <c r="N382" s="89">
        <f t="shared" si="73"/>
        <v>0</v>
      </c>
      <c r="O382" s="89">
        <f t="shared" si="73"/>
        <v>0</v>
      </c>
      <c r="P382" s="275">
        <f t="shared" si="73"/>
        <v>0</v>
      </c>
      <c r="Q382" s="487">
        <f t="shared" si="73"/>
        <v>0</v>
      </c>
      <c r="R382" s="448">
        <f t="shared" si="73"/>
        <v>0</v>
      </c>
      <c r="S382" s="444" t="e">
        <f t="shared" si="69"/>
        <v>#DIV/0!</v>
      </c>
    </row>
    <row r="383" spans="1:19" s="1" customFormat="1" ht="22.5" customHeight="1" hidden="1">
      <c r="A383" s="384" t="s">
        <v>289</v>
      </c>
      <c r="B383" s="71"/>
      <c r="C383" s="72" t="s">
        <v>219</v>
      </c>
      <c r="D383" s="72" t="s">
        <v>199</v>
      </c>
      <c r="E383" s="73" t="s">
        <v>200</v>
      </c>
      <c r="F383" s="74" t="s">
        <v>201</v>
      </c>
      <c r="G383" s="271">
        <f t="shared" si="75"/>
        <v>0</v>
      </c>
      <c r="H383" s="264">
        <f t="shared" si="75"/>
        <v>0</v>
      </c>
      <c r="I383" s="264">
        <f t="shared" si="75"/>
        <v>0</v>
      </c>
      <c r="J383" s="264">
        <f>J358</f>
        <v>0</v>
      </c>
      <c r="K383" s="294">
        <f t="shared" si="72"/>
        <v>0</v>
      </c>
      <c r="L383" s="315"/>
      <c r="M383" s="82"/>
      <c r="N383" s="89">
        <f t="shared" si="73"/>
        <v>0</v>
      </c>
      <c r="O383" s="89">
        <f t="shared" si="73"/>
        <v>0</v>
      </c>
      <c r="P383" s="275">
        <f t="shared" si="73"/>
        <v>0</v>
      </c>
      <c r="Q383" s="487">
        <f t="shared" si="73"/>
        <v>0</v>
      </c>
      <c r="R383" s="448">
        <f t="shared" si="73"/>
        <v>0</v>
      </c>
      <c r="S383" s="444" t="e">
        <f t="shared" si="69"/>
        <v>#DIV/0!</v>
      </c>
    </row>
    <row r="384" spans="1:19" s="1" customFormat="1" ht="14.25" customHeight="1" hidden="1">
      <c r="A384" s="384" t="s">
        <v>290</v>
      </c>
      <c r="B384" s="90"/>
      <c r="C384" s="129" t="s">
        <v>219</v>
      </c>
      <c r="D384" s="129" t="s">
        <v>199</v>
      </c>
      <c r="E384" s="130" t="s">
        <v>200</v>
      </c>
      <c r="F384" s="131" t="s">
        <v>201</v>
      </c>
      <c r="G384" s="271">
        <f>G368+G369+G370+G372+G373+G374+G375+G376+G377+G378+G379</f>
        <v>50</v>
      </c>
      <c r="H384" s="264">
        <f>H368+H369+H370+H372+H373+H374+H375+H376+H377+H378+H379</f>
        <v>100</v>
      </c>
      <c r="I384" s="264">
        <f>I368+I369+I370+I372+I373+I374+I375+I376+I377+I378+I379</f>
        <v>131</v>
      </c>
      <c r="J384" s="264">
        <f>J368+J369+J370+J372+J373+J374+J375+J376+J377+J378+J379</f>
        <v>0</v>
      </c>
      <c r="K384" s="294">
        <f t="shared" si="72"/>
        <v>50</v>
      </c>
      <c r="L384" s="315"/>
      <c r="M384" s="82"/>
      <c r="N384" s="89">
        <f t="shared" si="73"/>
        <v>50</v>
      </c>
      <c r="O384" s="89">
        <f t="shared" si="73"/>
        <v>50</v>
      </c>
      <c r="P384" s="275">
        <f t="shared" si="73"/>
        <v>100</v>
      </c>
      <c r="Q384" s="487">
        <f t="shared" si="73"/>
        <v>200</v>
      </c>
      <c r="R384" s="448">
        <f t="shared" si="73"/>
        <v>350</v>
      </c>
      <c r="S384" s="444">
        <f t="shared" si="69"/>
        <v>175</v>
      </c>
    </row>
    <row r="385" spans="1:19" s="1" customFormat="1" ht="12.75" hidden="1">
      <c r="A385" s="385" t="s">
        <v>208</v>
      </c>
      <c r="B385" s="71" t="s">
        <v>202</v>
      </c>
      <c r="C385" s="76" t="s">
        <v>219</v>
      </c>
      <c r="D385" s="76" t="s">
        <v>302</v>
      </c>
      <c r="E385" s="77" t="s">
        <v>306</v>
      </c>
      <c r="F385" s="78" t="s">
        <v>209</v>
      </c>
      <c r="G385" s="208">
        <f>G386</f>
        <v>0</v>
      </c>
      <c r="H385" s="158">
        <f>H386</f>
        <v>0</v>
      </c>
      <c r="I385" s="158">
        <f>I386</f>
        <v>0</v>
      </c>
      <c r="J385" s="158">
        <f>J386</f>
        <v>0</v>
      </c>
      <c r="K385" s="294">
        <f t="shared" si="72"/>
        <v>0</v>
      </c>
      <c r="L385" s="315"/>
      <c r="M385" s="82"/>
      <c r="N385" s="89">
        <f t="shared" si="73"/>
        <v>0</v>
      </c>
      <c r="O385" s="89">
        <f t="shared" si="73"/>
        <v>0</v>
      </c>
      <c r="P385" s="275">
        <f t="shared" si="73"/>
        <v>0</v>
      </c>
      <c r="Q385" s="487">
        <f t="shared" si="73"/>
        <v>0</v>
      </c>
      <c r="R385" s="448">
        <f t="shared" si="73"/>
        <v>0</v>
      </c>
      <c r="S385" s="444" t="e">
        <f t="shared" si="69"/>
        <v>#DIV/0!</v>
      </c>
    </row>
    <row r="386" spans="1:19" s="1" customFormat="1" ht="12.75" hidden="1">
      <c r="A386" s="385"/>
      <c r="B386" s="30"/>
      <c r="C386" s="79"/>
      <c r="D386" s="79"/>
      <c r="E386" s="80"/>
      <c r="F386" s="81" t="s">
        <v>236</v>
      </c>
      <c r="G386" s="208"/>
      <c r="H386" s="158"/>
      <c r="I386" s="158"/>
      <c r="J386" s="158"/>
      <c r="K386" s="294">
        <f t="shared" si="72"/>
        <v>0</v>
      </c>
      <c r="L386" s="315"/>
      <c r="M386" s="82"/>
      <c r="N386" s="89">
        <f t="shared" si="73"/>
        <v>0</v>
      </c>
      <c r="O386" s="89">
        <f t="shared" si="73"/>
        <v>0</v>
      </c>
      <c r="P386" s="275">
        <f t="shared" si="73"/>
        <v>0</v>
      </c>
      <c r="Q386" s="487">
        <f t="shared" si="73"/>
        <v>0</v>
      </c>
      <c r="R386" s="448">
        <f t="shared" si="73"/>
        <v>0</v>
      </c>
      <c r="S386" s="444" t="e">
        <f t="shared" si="69"/>
        <v>#DIV/0!</v>
      </c>
    </row>
    <row r="387" spans="1:19" s="1" customFormat="1" ht="15.75" customHeight="1">
      <c r="A387" s="389" t="s">
        <v>120</v>
      </c>
      <c r="B387" s="141" t="s">
        <v>299</v>
      </c>
      <c r="C387" s="76" t="s">
        <v>219</v>
      </c>
      <c r="D387" s="76" t="s">
        <v>203</v>
      </c>
      <c r="E387" s="77" t="s">
        <v>300</v>
      </c>
      <c r="F387" s="78" t="s">
        <v>112</v>
      </c>
      <c r="G387" s="208"/>
      <c r="H387" s="158"/>
      <c r="I387" s="158"/>
      <c r="J387" s="158">
        <v>8.2879</v>
      </c>
      <c r="K387" s="294">
        <v>8.29</v>
      </c>
      <c r="L387" s="315"/>
      <c r="M387" s="82"/>
      <c r="N387" s="89">
        <f t="shared" si="73"/>
        <v>8.29</v>
      </c>
      <c r="O387" s="89"/>
      <c r="P387" s="275"/>
      <c r="Q387" s="487">
        <f t="shared" si="73"/>
        <v>8.29</v>
      </c>
      <c r="R387" s="448">
        <v>8.2879</v>
      </c>
      <c r="S387" s="444">
        <f t="shared" si="69"/>
        <v>99.97466827503018</v>
      </c>
    </row>
    <row r="388" spans="1:19" s="1" customFormat="1" ht="15.75" customHeight="1">
      <c r="A388" s="437" t="s">
        <v>109</v>
      </c>
      <c r="B388" s="141" t="s">
        <v>202</v>
      </c>
      <c r="C388" s="76" t="s">
        <v>219</v>
      </c>
      <c r="D388" s="76" t="s">
        <v>203</v>
      </c>
      <c r="E388" s="77" t="s">
        <v>300</v>
      </c>
      <c r="F388" s="78" t="s">
        <v>106</v>
      </c>
      <c r="G388" s="208"/>
      <c r="H388" s="158"/>
      <c r="I388" s="158"/>
      <c r="J388" s="158">
        <v>90</v>
      </c>
      <c r="K388" s="294">
        <f t="shared" si="72"/>
        <v>90</v>
      </c>
      <c r="L388" s="315"/>
      <c r="M388" s="82"/>
      <c r="N388" s="89">
        <f t="shared" si="73"/>
        <v>90</v>
      </c>
      <c r="O388" s="89"/>
      <c r="P388" s="275"/>
      <c r="Q388" s="487">
        <f t="shared" si="73"/>
        <v>90</v>
      </c>
      <c r="R388" s="448">
        <v>18</v>
      </c>
      <c r="S388" s="444">
        <f t="shared" si="69"/>
        <v>20</v>
      </c>
    </row>
    <row r="389" spans="1:19" s="1" customFormat="1" ht="15.75" customHeight="1" thickBot="1">
      <c r="A389" s="389" t="s">
        <v>120</v>
      </c>
      <c r="B389" s="210" t="s">
        <v>340</v>
      </c>
      <c r="C389" s="118" t="s">
        <v>219</v>
      </c>
      <c r="D389" s="118" t="s">
        <v>203</v>
      </c>
      <c r="E389" s="124" t="s">
        <v>300</v>
      </c>
      <c r="F389" s="119" t="s">
        <v>112</v>
      </c>
      <c r="G389" s="218"/>
      <c r="H389" s="219"/>
      <c r="I389" s="219"/>
      <c r="J389" s="219">
        <v>60</v>
      </c>
      <c r="K389" s="382">
        <v>60</v>
      </c>
      <c r="L389" s="326"/>
      <c r="M389" s="111"/>
      <c r="N389" s="97">
        <f t="shared" si="73"/>
        <v>60</v>
      </c>
      <c r="O389" s="97"/>
      <c r="P389" s="269"/>
      <c r="Q389" s="488">
        <f t="shared" si="73"/>
        <v>60</v>
      </c>
      <c r="R389" s="489">
        <v>0</v>
      </c>
      <c r="S389" s="477">
        <f t="shared" si="69"/>
        <v>0</v>
      </c>
    </row>
    <row r="390" spans="1:19" s="1" customFormat="1" ht="15" customHeight="1" thickBot="1">
      <c r="A390" s="182" t="s">
        <v>143</v>
      </c>
      <c r="B390" s="183" t="s">
        <v>202</v>
      </c>
      <c r="C390" s="184" t="s">
        <v>240</v>
      </c>
      <c r="D390" s="184" t="s">
        <v>199</v>
      </c>
      <c r="E390" s="185"/>
      <c r="F390" s="186"/>
      <c r="G390" s="198">
        <f aca="true" t="shared" si="76" ref="G390:N390">G456+G451</f>
        <v>968</v>
      </c>
      <c r="H390" s="198">
        <f t="shared" si="76"/>
        <v>210</v>
      </c>
      <c r="I390" s="198">
        <f t="shared" si="76"/>
        <v>230</v>
      </c>
      <c r="J390" s="198">
        <f t="shared" si="76"/>
        <v>1005</v>
      </c>
      <c r="K390" s="284">
        <f t="shared" si="76"/>
        <v>1973</v>
      </c>
      <c r="L390" s="284">
        <f t="shared" si="76"/>
        <v>200</v>
      </c>
      <c r="M390" s="284">
        <f t="shared" si="76"/>
        <v>-573.259</v>
      </c>
      <c r="N390" s="284">
        <f t="shared" si="76"/>
        <v>1599.741</v>
      </c>
      <c r="O390" s="284">
        <f>O456+O451</f>
        <v>0</v>
      </c>
      <c r="P390" s="284">
        <f>P456+P451</f>
        <v>1269.8</v>
      </c>
      <c r="Q390" s="497">
        <f>Q456+Q451</f>
        <v>2817.141</v>
      </c>
      <c r="R390" s="497">
        <f>R456+R451</f>
        <v>2644.48981</v>
      </c>
      <c r="S390" s="470">
        <f t="shared" si="69"/>
        <v>93.87140402273084</v>
      </c>
    </row>
    <row r="391" spans="1:19" s="1" customFormat="1" ht="16.5" hidden="1" thickBot="1">
      <c r="A391" s="47" t="s">
        <v>309</v>
      </c>
      <c r="B391" s="99" t="s">
        <v>202</v>
      </c>
      <c r="C391" s="112" t="s">
        <v>240</v>
      </c>
      <c r="D391" s="112" t="s">
        <v>198</v>
      </c>
      <c r="E391" s="112" t="s">
        <v>200</v>
      </c>
      <c r="F391" s="104" t="s">
        <v>201</v>
      </c>
      <c r="G391" s="88">
        <f>G431</f>
        <v>0</v>
      </c>
      <c r="H391" s="55">
        <f>H431</f>
        <v>0</v>
      </c>
      <c r="I391" s="55">
        <f>I431</f>
        <v>0</v>
      </c>
      <c r="J391" s="88">
        <f>J431</f>
        <v>0</v>
      </c>
      <c r="K391" s="290">
        <f>K431</f>
        <v>0</v>
      </c>
      <c r="L391" s="313"/>
      <c r="M391" s="75"/>
      <c r="N391" s="96"/>
      <c r="O391" s="96"/>
      <c r="P391" s="287"/>
      <c r="Q391" s="449"/>
      <c r="R391" s="449"/>
      <c r="S391" s="459" t="e">
        <f t="shared" si="69"/>
        <v>#DIV/0!</v>
      </c>
    </row>
    <row r="392" spans="1:19" s="1" customFormat="1" ht="11.25" customHeight="1" hidden="1">
      <c r="A392" s="46" t="s">
        <v>241</v>
      </c>
      <c r="B392" s="71" t="s">
        <v>202</v>
      </c>
      <c r="C392" s="72" t="s">
        <v>240</v>
      </c>
      <c r="D392" s="72" t="s">
        <v>198</v>
      </c>
      <c r="E392" s="72" t="s">
        <v>205</v>
      </c>
      <c r="F392" s="74" t="s">
        <v>201</v>
      </c>
      <c r="G392" s="96">
        <f aca="true" t="shared" si="77" ref="G392:I396">G364</f>
        <v>0</v>
      </c>
      <c r="H392" s="75">
        <f t="shared" si="77"/>
        <v>0</v>
      </c>
      <c r="I392" s="75">
        <f t="shared" si="77"/>
        <v>0</v>
      </c>
      <c r="J392" s="96">
        <f aca="true" t="shared" si="78" ref="J392:K396">J364</f>
        <v>0</v>
      </c>
      <c r="K392" s="287">
        <f t="shared" si="78"/>
        <v>0</v>
      </c>
      <c r="L392" s="313"/>
      <c r="M392" s="75"/>
      <c r="N392" s="96"/>
      <c r="O392" s="96"/>
      <c r="P392" s="287"/>
      <c r="Q392" s="449"/>
      <c r="R392" s="449"/>
      <c r="S392" s="459" t="e">
        <f t="shared" si="69"/>
        <v>#DIV/0!</v>
      </c>
    </row>
    <row r="393" spans="1:19" s="1" customFormat="1" ht="16.5" hidden="1" thickBot="1">
      <c r="A393" s="46" t="s">
        <v>220</v>
      </c>
      <c r="B393" s="71" t="s">
        <v>202</v>
      </c>
      <c r="C393" s="76" t="s">
        <v>240</v>
      </c>
      <c r="D393" s="76" t="s">
        <v>198</v>
      </c>
      <c r="E393" s="76" t="s">
        <v>221</v>
      </c>
      <c r="F393" s="78" t="s">
        <v>201</v>
      </c>
      <c r="G393" s="96">
        <f t="shared" si="77"/>
        <v>50</v>
      </c>
      <c r="H393" s="75">
        <f t="shared" si="77"/>
        <v>100</v>
      </c>
      <c r="I393" s="75">
        <f t="shared" si="77"/>
        <v>131</v>
      </c>
      <c r="J393" s="96">
        <f t="shared" si="78"/>
        <v>0</v>
      </c>
      <c r="K393" s="287">
        <f t="shared" si="78"/>
        <v>50</v>
      </c>
      <c r="L393" s="313"/>
      <c r="M393" s="75"/>
      <c r="N393" s="96"/>
      <c r="O393" s="96"/>
      <c r="P393" s="287"/>
      <c r="Q393" s="449"/>
      <c r="R393" s="449"/>
      <c r="S393" s="459" t="e">
        <f t="shared" si="69"/>
        <v>#DIV/0!</v>
      </c>
    </row>
    <row r="394" spans="1:19" s="1" customFormat="1" ht="16.5" hidden="1" thickBot="1">
      <c r="A394" s="46" t="s">
        <v>208</v>
      </c>
      <c r="B394" s="71" t="s">
        <v>202</v>
      </c>
      <c r="C394" s="76" t="s">
        <v>240</v>
      </c>
      <c r="D394" s="76" t="s">
        <v>198</v>
      </c>
      <c r="E394" s="76" t="s">
        <v>221</v>
      </c>
      <c r="F394" s="78" t="s">
        <v>209</v>
      </c>
      <c r="G394" s="96">
        <f t="shared" si="77"/>
        <v>50</v>
      </c>
      <c r="H394" s="75">
        <f t="shared" si="77"/>
        <v>100</v>
      </c>
      <c r="I394" s="75">
        <f t="shared" si="77"/>
        <v>131</v>
      </c>
      <c r="J394" s="96">
        <f t="shared" si="78"/>
        <v>0</v>
      </c>
      <c r="K394" s="287">
        <f t="shared" si="78"/>
        <v>50</v>
      </c>
      <c r="L394" s="313"/>
      <c r="M394" s="75"/>
      <c r="N394" s="96"/>
      <c r="O394" s="96"/>
      <c r="P394" s="287"/>
      <c r="Q394" s="449"/>
      <c r="R394" s="449"/>
      <c r="S394" s="459" t="e">
        <f t="shared" si="69"/>
        <v>#DIV/0!</v>
      </c>
    </row>
    <row r="395" spans="1:19" s="1" customFormat="1" ht="16.5" hidden="1" thickBot="1">
      <c r="A395" s="45" t="s">
        <v>210</v>
      </c>
      <c r="B395" s="71" t="s">
        <v>202</v>
      </c>
      <c r="C395" s="76" t="s">
        <v>240</v>
      </c>
      <c r="D395" s="76" t="s">
        <v>198</v>
      </c>
      <c r="E395" s="76" t="s">
        <v>221</v>
      </c>
      <c r="F395" s="78" t="s">
        <v>209</v>
      </c>
      <c r="G395" s="96">
        <f t="shared" si="77"/>
        <v>0</v>
      </c>
      <c r="H395" s="75">
        <f t="shared" si="77"/>
        <v>0</v>
      </c>
      <c r="I395" s="75">
        <f t="shared" si="77"/>
        <v>0</v>
      </c>
      <c r="J395" s="96">
        <f t="shared" si="78"/>
        <v>0</v>
      </c>
      <c r="K395" s="287">
        <f t="shared" si="78"/>
        <v>0</v>
      </c>
      <c r="L395" s="313"/>
      <c r="M395" s="75"/>
      <c r="N395" s="96"/>
      <c r="O395" s="96"/>
      <c r="P395" s="287"/>
      <c r="Q395" s="449"/>
      <c r="R395" s="449"/>
      <c r="S395" s="459" t="e">
        <f t="shared" si="69"/>
        <v>#DIV/0!</v>
      </c>
    </row>
    <row r="396" spans="1:19" s="1" customFormat="1" ht="16.5" hidden="1" thickBot="1">
      <c r="A396" s="45" t="s">
        <v>310</v>
      </c>
      <c r="B396" s="71" t="s">
        <v>202</v>
      </c>
      <c r="C396" s="76" t="s">
        <v>240</v>
      </c>
      <c r="D396" s="76" t="s">
        <v>198</v>
      </c>
      <c r="E396" s="76" t="s">
        <v>221</v>
      </c>
      <c r="F396" s="78" t="s">
        <v>209</v>
      </c>
      <c r="G396" s="96">
        <f t="shared" si="77"/>
        <v>0</v>
      </c>
      <c r="H396" s="75">
        <f t="shared" si="77"/>
        <v>0</v>
      </c>
      <c r="I396" s="75">
        <f t="shared" si="77"/>
        <v>0</v>
      </c>
      <c r="J396" s="96">
        <f t="shared" si="78"/>
        <v>0</v>
      </c>
      <c r="K396" s="287">
        <f t="shared" si="78"/>
        <v>0</v>
      </c>
      <c r="L396" s="313"/>
      <c r="M396" s="75"/>
      <c r="N396" s="96"/>
      <c r="O396" s="96"/>
      <c r="P396" s="287"/>
      <c r="Q396" s="449"/>
      <c r="R396" s="449"/>
      <c r="S396" s="459" t="e">
        <f t="shared" si="69"/>
        <v>#DIV/0!</v>
      </c>
    </row>
    <row r="397" spans="1:19" s="1" customFormat="1" ht="16.5" hidden="1" thickBot="1">
      <c r="A397" s="39" t="s">
        <v>212</v>
      </c>
      <c r="B397" s="71" t="s">
        <v>202</v>
      </c>
      <c r="C397" s="76" t="s">
        <v>240</v>
      </c>
      <c r="D397" s="76" t="s">
        <v>198</v>
      </c>
      <c r="E397" s="76" t="s">
        <v>221</v>
      </c>
      <c r="F397" s="78" t="s">
        <v>209</v>
      </c>
      <c r="G397" s="96"/>
      <c r="H397" s="75"/>
      <c r="I397" s="75"/>
      <c r="J397" s="96"/>
      <c r="K397" s="287"/>
      <c r="L397" s="313"/>
      <c r="M397" s="75"/>
      <c r="N397" s="96"/>
      <c r="O397" s="96"/>
      <c r="P397" s="287"/>
      <c r="Q397" s="449"/>
      <c r="R397" s="449"/>
      <c r="S397" s="459" t="e">
        <f t="shared" si="69"/>
        <v>#DIV/0!</v>
      </c>
    </row>
    <row r="398" spans="1:19" s="1" customFormat="1" ht="16.5" hidden="1" thickBot="1">
      <c r="A398" s="39" t="s">
        <v>213</v>
      </c>
      <c r="B398" s="71" t="s">
        <v>202</v>
      </c>
      <c r="C398" s="76" t="s">
        <v>240</v>
      </c>
      <c r="D398" s="76" t="s">
        <v>198</v>
      </c>
      <c r="E398" s="76" t="s">
        <v>221</v>
      </c>
      <c r="F398" s="78" t="s">
        <v>209</v>
      </c>
      <c r="G398" s="96"/>
      <c r="H398" s="75"/>
      <c r="I398" s="75"/>
      <c r="J398" s="96"/>
      <c r="K398" s="287"/>
      <c r="L398" s="313"/>
      <c r="M398" s="75"/>
      <c r="N398" s="96"/>
      <c r="O398" s="96"/>
      <c r="P398" s="287"/>
      <c r="Q398" s="449"/>
      <c r="R398" s="449"/>
      <c r="S398" s="459" t="e">
        <f t="shared" si="69"/>
        <v>#DIV/0!</v>
      </c>
    </row>
    <row r="399" spans="1:19" s="1" customFormat="1" ht="16.5" hidden="1" thickBot="1">
      <c r="A399" s="39" t="s">
        <v>311</v>
      </c>
      <c r="B399" s="71" t="s">
        <v>202</v>
      </c>
      <c r="C399" s="76" t="s">
        <v>240</v>
      </c>
      <c r="D399" s="76" t="s">
        <v>198</v>
      </c>
      <c r="E399" s="76" t="s">
        <v>221</v>
      </c>
      <c r="F399" s="78" t="s">
        <v>209</v>
      </c>
      <c r="G399" s="96"/>
      <c r="H399" s="75"/>
      <c r="I399" s="75"/>
      <c r="J399" s="96"/>
      <c r="K399" s="287"/>
      <c r="L399" s="313"/>
      <c r="M399" s="75"/>
      <c r="N399" s="96"/>
      <c r="O399" s="96"/>
      <c r="P399" s="287"/>
      <c r="Q399" s="449"/>
      <c r="R399" s="449"/>
      <c r="S399" s="459" t="e">
        <f aca="true" t="shared" si="79" ref="S399:S462">R399/Q399*100</f>
        <v>#DIV/0!</v>
      </c>
    </row>
    <row r="400" spans="1:19" s="1" customFormat="1" ht="16.5" hidden="1" thickBot="1">
      <c r="A400" s="39" t="s">
        <v>307</v>
      </c>
      <c r="B400" s="71" t="s">
        <v>202</v>
      </c>
      <c r="C400" s="76" t="s">
        <v>240</v>
      </c>
      <c r="D400" s="76" t="s">
        <v>198</v>
      </c>
      <c r="E400" s="76" t="s">
        <v>221</v>
      </c>
      <c r="F400" s="78" t="s">
        <v>209</v>
      </c>
      <c r="G400" s="96">
        <f>SUM(G401:G406)</f>
        <v>0</v>
      </c>
      <c r="H400" s="75">
        <f>SUM(H401:H406)</f>
        <v>0</v>
      </c>
      <c r="I400" s="75">
        <f>SUM(I401:I406)</f>
        <v>0</v>
      </c>
      <c r="J400" s="96">
        <f>SUM(J401:J406)</f>
        <v>0</v>
      </c>
      <c r="K400" s="287">
        <f>SUM(K401:K406)</f>
        <v>0</v>
      </c>
      <c r="L400" s="313"/>
      <c r="M400" s="75"/>
      <c r="N400" s="96"/>
      <c r="O400" s="96"/>
      <c r="P400" s="287"/>
      <c r="Q400" s="449"/>
      <c r="R400" s="449"/>
      <c r="S400" s="459" t="e">
        <f t="shared" si="79"/>
        <v>#DIV/0!</v>
      </c>
    </row>
    <row r="401" spans="1:19" s="1" customFormat="1" ht="16.5" hidden="1" thickBot="1">
      <c r="A401" s="39" t="s">
        <v>312</v>
      </c>
      <c r="B401" s="71" t="s">
        <v>202</v>
      </c>
      <c r="C401" s="76" t="s">
        <v>240</v>
      </c>
      <c r="D401" s="76" t="s">
        <v>198</v>
      </c>
      <c r="E401" s="76" t="s">
        <v>221</v>
      </c>
      <c r="F401" s="78" t="s">
        <v>209</v>
      </c>
      <c r="G401" s="96"/>
      <c r="H401" s="75"/>
      <c r="I401" s="75"/>
      <c r="J401" s="96"/>
      <c r="K401" s="287"/>
      <c r="L401" s="313"/>
      <c r="M401" s="75"/>
      <c r="N401" s="96"/>
      <c r="O401" s="96"/>
      <c r="P401" s="287"/>
      <c r="Q401" s="449"/>
      <c r="R401" s="449"/>
      <c r="S401" s="459" t="e">
        <f t="shared" si="79"/>
        <v>#DIV/0!</v>
      </c>
    </row>
    <row r="402" spans="1:19" s="1" customFormat="1" ht="16.5" hidden="1" thickBot="1">
      <c r="A402" s="39" t="s">
        <v>313</v>
      </c>
      <c r="B402" s="71" t="s">
        <v>202</v>
      </c>
      <c r="C402" s="76" t="s">
        <v>240</v>
      </c>
      <c r="D402" s="76" t="s">
        <v>198</v>
      </c>
      <c r="E402" s="76" t="s">
        <v>221</v>
      </c>
      <c r="F402" s="78" t="s">
        <v>209</v>
      </c>
      <c r="G402" s="96"/>
      <c r="H402" s="75"/>
      <c r="I402" s="75"/>
      <c r="J402" s="96"/>
      <c r="K402" s="287"/>
      <c r="L402" s="313"/>
      <c r="M402" s="75"/>
      <c r="N402" s="96"/>
      <c r="O402" s="96"/>
      <c r="P402" s="287"/>
      <c r="Q402" s="449"/>
      <c r="R402" s="449"/>
      <c r="S402" s="459" t="e">
        <f t="shared" si="79"/>
        <v>#DIV/0!</v>
      </c>
    </row>
    <row r="403" spans="1:19" s="1" customFormat="1" ht="16.5" hidden="1" thickBot="1">
      <c r="A403" s="39" t="s">
        <v>242</v>
      </c>
      <c r="B403" s="71" t="s">
        <v>202</v>
      </c>
      <c r="C403" s="76" t="s">
        <v>240</v>
      </c>
      <c r="D403" s="76" t="s">
        <v>198</v>
      </c>
      <c r="E403" s="76" t="s">
        <v>221</v>
      </c>
      <c r="F403" s="78" t="s">
        <v>209</v>
      </c>
      <c r="G403" s="96"/>
      <c r="H403" s="75"/>
      <c r="I403" s="75"/>
      <c r="J403" s="96"/>
      <c r="K403" s="287"/>
      <c r="L403" s="313"/>
      <c r="M403" s="75"/>
      <c r="N403" s="96"/>
      <c r="O403" s="96"/>
      <c r="P403" s="287"/>
      <c r="Q403" s="449"/>
      <c r="R403" s="449"/>
      <c r="S403" s="459" t="e">
        <f t="shared" si="79"/>
        <v>#DIV/0!</v>
      </c>
    </row>
    <row r="404" spans="1:19" s="1" customFormat="1" ht="16.5" hidden="1" thickBot="1">
      <c r="A404" s="45" t="s">
        <v>314</v>
      </c>
      <c r="B404" s="71" t="s">
        <v>202</v>
      </c>
      <c r="C404" s="76" t="s">
        <v>240</v>
      </c>
      <c r="D404" s="76" t="s">
        <v>198</v>
      </c>
      <c r="E404" s="76" t="s">
        <v>221</v>
      </c>
      <c r="F404" s="78" t="s">
        <v>209</v>
      </c>
      <c r="G404" s="96"/>
      <c r="H404" s="75"/>
      <c r="I404" s="75"/>
      <c r="J404" s="96"/>
      <c r="K404" s="287"/>
      <c r="L404" s="313"/>
      <c r="M404" s="75"/>
      <c r="N404" s="96"/>
      <c r="O404" s="96"/>
      <c r="P404" s="287"/>
      <c r="Q404" s="449"/>
      <c r="R404" s="449"/>
      <c r="S404" s="459" t="e">
        <f t="shared" si="79"/>
        <v>#DIV/0!</v>
      </c>
    </row>
    <row r="405" spans="1:19" s="1" customFormat="1" ht="16.5" hidden="1" thickBot="1">
      <c r="A405" s="39" t="s">
        <v>315</v>
      </c>
      <c r="B405" s="71" t="s">
        <v>202</v>
      </c>
      <c r="C405" s="76" t="s">
        <v>240</v>
      </c>
      <c r="D405" s="76" t="s">
        <v>198</v>
      </c>
      <c r="E405" s="76" t="s">
        <v>221</v>
      </c>
      <c r="F405" s="78" t="s">
        <v>209</v>
      </c>
      <c r="G405" s="96"/>
      <c r="H405" s="75"/>
      <c r="I405" s="75"/>
      <c r="J405" s="96"/>
      <c r="K405" s="287"/>
      <c r="L405" s="313"/>
      <c r="M405" s="75"/>
      <c r="N405" s="96"/>
      <c r="O405" s="96"/>
      <c r="P405" s="287"/>
      <c r="Q405" s="449"/>
      <c r="R405" s="449"/>
      <c r="S405" s="459" t="e">
        <f t="shared" si="79"/>
        <v>#DIV/0!</v>
      </c>
    </row>
    <row r="406" spans="1:19" s="1" customFormat="1" ht="16.5" hidden="1" thickBot="1">
      <c r="A406" s="39" t="s">
        <v>279</v>
      </c>
      <c r="B406" s="71" t="s">
        <v>202</v>
      </c>
      <c r="C406" s="76" t="s">
        <v>240</v>
      </c>
      <c r="D406" s="76" t="s">
        <v>198</v>
      </c>
      <c r="E406" s="76" t="s">
        <v>221</v>
      </c>
      <c r="F406" s="78" t="s">
        <v>209</v>
      </c>
      <c r="G406" s="96"/>
      <c r="H406" s="75"/>
      <c r="I406" s="75"/>
      <c r="J406" s="96"/>
      <c r="K406" s="287"/>
      <c r="L406" s="313"/>
      <c r="M406" s="75"/>
      <c r="N406" s="96"/>
      <c r="O406" s="96"/>
      <c r="P406" s="287"/>
      <c r="Q406" s="449"/>
      <c r="R406" s="449"/>
      <c r="S406" s="459" t="e">
        <f t="shared" si="79"/>
        <v>#DIV/0!</v>
      </c>
    </row>
    <row r="407" spans="1:19" s="1" customFormat="1" ht="16.5" hidden="1" thickBot="1">
      <c r="A407" s="39" t="s">
        <v>227</v>
      </c>
      <c r="B407" s="71" t="s">
        <v>202</v>
      </c>
      <c r="C407" s="76" t="s">
        <v>240</v>
      </c>
      <c r="D407" s="76" t="s">
        <v>198</v>
      </c>
      <c r="E407" s="76" t="s">
        <v>221</v>
      </c>
      <c r="F407" s="78" t="s">
        <v>209</v>
      </c>
      <c r="G407" s="96"/>
      <c r="H407" s="75"/>
      <c r="I407" s="75"/>
      <c r="J407" s="96"/>
      <c r="K407" s="287"/>
      <c r="L407" s="313"/>
      <c r="M407" s="75"/>
      <c r="N407" s="96"/>
      <c r="O407" s="96"/>
      <c r="P407" s="287"/>
      <c r="Q407" s="449"/>
      <c r="R407" s="449"/>
      <c r="S407" s="459" t="e">
        <f t="shared" si="79"/>
        <v>#DIV/0!</v>
      </c>
    </row>
    <row r="408" spans="1:19" s="1" customFormat="1" ht="16.5" hidden="1" thickBot="1">
      <c r="A408" s="46" t="s">
        <v>228</v>
      </c>
      <c r="B408" s="71" t="s">
        <v>202</v>
      </c>
      <c r="C408" s="76" t="s">
        <v>240</v>
      </c>
      <c r="D408" s="76" t="s">
        <v>198</v>
      </c>
      <c r="E408" s="76" t="s">
        <v>221</v>
      </c>
      <c r="F408" s="78" t="s">
        <v>209</v>
      </c>
      <c r="G408" s="96">
        <f>SUM(G409:G410)</f>
        <v>0</v>
      </c>
      <c r="H408" s="75">
        <f>SUM(H409:H410)</f>
        <v>0</v>
      </c>
      <c r="I408" s="75">
        <f>SUM(I409:I410)</f>
        <v>0</v>
      </c>
      <c r="J408" s="96">
        <f>SUM(J409:J410)</f>
        <v>0</v>
      </c>
      <c r="K408" s="287">
        <f>SUM(K409:K410)</f>
        <v>0</v>
      </c>
      <c r="L408" s="313"/>
      <c r="M408" s="75"/>
      <c r="N408" s="96"/>
      <c r="O408" s="96"/>
      <c r="P408" s="287"/>
      <c r="Q408" s="449"/>
      <c r="R408" s="449"/>
      <c r="S408" s="459" t="e">
        <f t="shared" si="79"/>
        <v>#DIV/0!</v>
      </c>
    </row>
    <row r="409" spans="1:19" s="1" customFormat="1" ht="16.5" hidden="1" thickBot="1">
      <c r="A409" s="39" t="s">
        <v>229</v>
      </c>
      <c r="B409" s="71" t="s">
        <v>202</v>
      </c>
      <c r="C409" s="76" t="s">
        <v>240</v>
      </c>
      <c r="D409" s="76" t="s">
        <v>198</v>
      </c>
      <c r="E409" s="76" t="s">
        <v>221</v>
      </c>
      <c r="F409" s="78" t="s">
        <v>209</v>
      </c>
      <c r="G409" s="96"/>
      <c r="H409" s="75"/>
      <c r="I409" s="75"/>
      <c r="J409" s="96"/>
      <c r="K409" s="287"/>
      <c r="L409" s="313"/>
      <c r="M409" s="75"/>
      <c r="N409" s="96"/>
      <c r="O409" s="96"/>
      <c r="P409" s="287"/>
      <c r="Q409" s="449"/>
      <c r="R409" s="449"/>
      <c r="S409" s="459" t="e">
        <f t="shared" si="79"/>
        <v>#DIV/0!</v>
      </c>
    </row>
    <row r="410" spans="1:19" s="1" customFormat="1" ht="16.5" hidden="1" thickBot="1">
      <c r="A410" s="39" t="s">
        <v>230</v>
      </c>
      <c r="B410" s="71" t="s">
        <v>202</v>
      </c>
      <c r="C410" s="76" t="s">
        <v>240</v>
      </c>
      <c r="D410" s="76" t="s">
        <v>198</v>
      </c>
      <c r="E410" s="76" t="s">
        <v>221</v>
      </c>
      <c r="F410" s="78" t="s">
        <v>209</v>
      </c>
      <c r="G410" s="96"/>
      <c r="H410" s="75"/>
      <c r="I410" s="75"/>
      <c r="J410" s="96"/>
      <c r="K410" s="287"/>
      <c r="L410" s="313"/>
      <c r="M410" s="75"/>
      <c r="N410" s="96"/>
      <c r="O410" s="96"/>
      <c r="P410" s="287"/>
      <c r="Q410" s="449"/>
      <c r="R410" s="449"/>
      <c r="S410" s="459" t="e">
        <f t="shared" si="79"/>
        <v>#DIV/0!</v>
      </c>
    </row>
    <row r="411" spans="1:19" s="1" customFormat="1" ht="11.25" customHeight="1" hidden="1">
      <c r="A411" s="46" t="s">
        <v>241</v>
      </c>
      <c r="B411" s="71" t="s">
        <v>202</v>
      </c>
      <c r="C411" s="72" t="s">
        <v>240</v>
      </c>
      <c r="D411" s="72" t="s">
        <v>198</v>
      </c>
      <c r="E411" s="76" t="s">
        <v>316</v>
      </c>
      <c r="F411" s="74" t="s">
        <v>201</v>
      </c>
      <c r="G411" s="96">
        <f aca="true" t="shared" si="80" ref="G411:K412">G412</f>
        <v>0</v>
      </c>
      <c r="H411" s="75">
        <f t="shared" si="80"/>
        <v>0</v>
      </c>
      <c r="I411" s="75">
        <f t="shared" si="80"/>
        <v>0</v>
      </c>
      <c r="J411" s="96">
        <f t="shared" si="80"/>
        <v>0</v>
      </c>
      <c r="K411" s="287">
        <f t="shared" si="80"/>
        <v>0</v>
      </c>
      <c r="L411" s="313"/>
      <c r="M411" s="75"/>
      <c r="N411" s="96"/>
      <c r="O411" s="96"/>
      <c r="P411" s="287"/>
      <c r="Q411" s="449"/>
      <c r="R411" s="449"/>
      <c r="S411" s="459" t="e">
        <f t="shared" si="79"/>
        <v>#DIV/0!</v>
      </c>
    </row>
    <row r="412" spans="1:19" s="1" customFormat="1" ht="16.5" hidden="1" thickBot="1">
      <c r="A412" s="46" t="s">
        <v>220</v>
      </c>
      <c r="B412" s="71" t="s">
        <v>202</v>
      </c>
      <c r="C412" s="76" t="s">
        <v>240</v>
      </c>
      <c r="D412" s="76" t="s">
        <v>198</v>
      </c>
      <c r="E412" s="76" t="s">
        <v>316</v>
      </c>
      <c r="F412" s="78" t="s">
        <v>201</v>
      </c>
      <c r="G412" s="96">
        <f t="shared" si="80"/>
        <v>0</v>
      </c>
      <c r="H412" s="75">
        <f t="shared" si="80"/>
        <v>0</v>
      </c>
      <c r="I412" s="75">
        <f t="shared" si="80"/>
        <v>0</v>
      </c>
      <c r="J412" s="96">
        <f t="shared" si="80"/>
        <v>0</v>
      </c>
      <c r="K412" s="287">
        <f t="shared" si="80"/>
        <v>0</v>
      </c>
      <c r="L412" s="313"/>
      <c r="M412" s="75"/>
      <c r="N412" s="96"/>
      <c r="O412" s="96"/>
      <c r="P412" s="287"/>
      <c r="Q412" s="449"/>
      <c r="R412" s="449"/>
      <c r="S412" s="459" t="e">
        <f t="shared" si="79"/>
        <v>#DIV/0!</v>
      </c>
    </row>
    <row r="413" spans="1:19" s="1" customFormat="1" ht="16.5" hidden="1" thickBot="1">
      <c r="A413" s="46" t="s">
        <v>208</v>
      </c>
      <c r="B413" s="71" t="s">
        <v>202</v>
      </c>
      <c r="C413" s="76" t="s">
        <v>240</v>
      </c>
      <c r="D413" s="76" t="s">
        <v>198</v>
      </c>
      <c r="E413" s="76" t="s">
        <v>316</v>
      </c>
      <c r="F413" s="78" t="s">
        <v>209</v>
      </c>
      <c r="G413" s="96">
        <f>G414+G428</f>
        <v>0</v>
      </c>
      <c r="H413" s="75">
        <f>H414+H428</f>
        <v>0</v>
      </c>
      <c r="I413" s="75">
        <f>I414+I428</f>
        <v>0</v>
      </c>
      <c r="J413" s="96">
        <f>J414+J428</f>
        <v>0</v>
      </c>
      <c r="K413" s="287">
        <f>K414+K428</f>
        <v>0</v>
      </c>
      <c r="L413" s="313"/>
      <c r="M413" s="75"/>
      <c r="N413" s="96"/>
      <c r="O413" s="96"/>
      <c r="P413" s="287"/>
      <c r="Q413" s="449"/>
      <c r="R413" s="449"/>
      <c r="S413" s="459" t="e">
        <f t="shared" si="79"/>
        <v>#DIV/0!</v>
      </c>
    </row>
    <row r="414" spans="1:19" s="1" customFormat="1" ht="16.5" hidden="1" thickBot="1">
      <c r="A414" s="45" t="s">
        <v>210</v>
      </c>
      <c r="B414" s="71" t="s">
        <v>202</v>
      </c>
      <c r="C414" s="76" t="s">
        <v>240</v>
      </c>
      <c r="D414" s="76" t="s">
        <v>198</v>
      </c>
      <c r="E414" s="76" t="s">
        <v>316</v>
      </c>
      <c r="F414" s="78" t="s">
        <v>209</v>
      </c>
      <c r="G414" s="96">
        <f>G415+G419</f>
        <v>0</v>
      </c>
      <c r="H414" s="75">
        <f>H415+H419</f>
        <v>0</v>
      </c>
      <c r="I414" s="75">
        <f>I415+I419</f>
        <v>0</v>
      </c>
      <c r="J414" s="96">
        <f>J415+J419</f>
        <v>0</v>
      </c>
      <c r="K414" s="287">
        <f>K415+K419</f>
        <v>0</v>
      </c>
      <c r="L414" s="313"/>
      <c r="M414" s="75"/>
      <c r="N414" s="96"/>
      <c r="O414" s="96"/>
      <c r="P414" s="287"/>
      <c r="Q414" s="449"/>
      <c r="R414" s="449"/>
      <c r="S414" s="459" t="e">
        <f t="shared" si="79"/>
        <v>#DIV/0!</v>
      </c>
    </row>
    <row r="415" spans="1:19" s="1" customFormat="1" ht="16.5" hidden="1" thickBot="1">
      <c r="A415" s="45" t="s">
        <v>310</v>
      </c>
      <c r="B415" s="71" t="s">
        <v>202</v>
      </c>
      <c r="C415" s="76" t="s">
        <v>240</v>
      </c>
      <c r="D415" s="76" t="s">
        <v>198</v>
      </c>
      <c r="E415" s="76" t="s">
        <v>316</v>
      </c>
      <c r="F415" s="78" t="s">
        <v>209</v>
      </c>
      <c r="G415" s="96">
        <f>SUM(G416:G418)</f>
        <v>0</v>
      </c>
      <c r="H415" s="75">
        <f>SUM(H416:H418)</f>
        <v>0</v>
      </c>
      <c r="I415" s="75">
        <f>SUM(I416:I418)</f>
        <v>0</v>
      </c>
      <c r="J415" s="96">
        <f>SUM(J416:J418)</f>
        <v>0</v>
      </c>
      <c r="K415" s="287">
        <f>SUM(K416:K418)</f>
        <v>0</v>
      </c>
      <c r="L415" s="313"/>
      <c r="M415" s="75"/>
      <c r="N415" s="96"/>
      <c r="O415" s="96"/>
      <c r="P415" s="287"/>
      <c r="Q415" s="449"/>
      <c r="R415" s="449"/>
      <c r="S415" s="459" t="e">
        <f t="shared" si="79"/>
        <v>#DIV/0!</v>
      </c>
    </row>
    <row r="416" spans="1:19" s="1" customFormat="1" ht="16.5" hidden="1" thickBot="1">
      <c r="A416" s="39" t="s">
        <v>212</v>
      </c>
      <c r="B416" s="71" t="s">
        <v>202</v>
      </c>
      <c r="C416" s="76" t="s">
        <v>240</v>
      </c>
      <c r="D416" s="76" t="s">
        <v>198</v>
      </c>
      <c r="E416" s="76" t="s">
        <v>316</v>
      </c>
      <c r="F416" s="78" t="s">
        <v>209</v>
      </c>
      <c r="G416" s="96"/>
      <c r="H416" s="75"/>
      <c r="I416" s="75"/>
      <c r="J416" s="96"/>
      <c r="K416" s="287"/>
      <c r="L416" s="313"/>
      <c r="M416" s="75"/>
      <c r="N416" s="96"/>
      <c r="O416" s="96"/>
      <c r="P416" s="287"/>
      <c r="Q416" s="449"/>
      <c r="R416" s="449"/>
      <c r="S416" s="459" t="e">
        <f t="shared" si="79"/>
        <v>#DIV/0!</v>
      </c>
    </row>
    <row r="417" spans="1:19" s="1" customFormat="1" ht="16.5" hidden="1" thickBot="1">
      <c r="A417" s="39" t="s">
        <v>213</v>
      </c>
      <c r="B417" s="71" t="s">
        <v>202</v>
      </c>
      <c r="C417" s="76" t="s">
        <v>240</v>
      </c>
      <c r="D417" s="76" t="s">
        <v>198</v>
      </c>
      <c r="E417" s="76" t="s">
        <v>316</v>
      </c>
      <c r="F417" s="78" t="s">
        <v>209</v>
      </c>
      <c r="G417" s="96"/>
      <c r="H417" s="75"/>
      <c r="I417" s="75"/>
      <c r="J417" s="96"/>
      <c r="K417" s="287"/>
      <c r="L417" s="313"/>
      <c r="M417" s="75"/>
      <c r="N417" s="96"/>
      <c r="O417" s="96"/>
      <c r="P417" s="287"/>
      <c r="Q417" s="449"/>
      <c r="R417" s="449"/>
      <c r="S417" s="459" t="e">
        <f t="shared" si="79"/>
        <v>#DIV/0!</v>
      </c>
    </row>
    <row r="418" spans="1:19" s="1" customFormat="1" ht="16.5" hidden="1" thickBot="1">
      <c r="A418" s="39" t="s">
        <v>311</v>
      </c>
      <c r="B418" s="71" t="s">
        <v>202</v>
      </c>
      <c r="C418" s="76" t="s">
        <v>240</v>
      </c>
      <c r="D418" s="76" t="s">
        <v>198</v>
      </c>
      <c r="E418" s="76" t="s">
        <v>316</v>
      </c>
      <c r="F418" s="78" t="s">
        <v>209</v>
      </c>
      <c r="G418" s="96"/>
      <c r="H418" s="75"/>
      <c r="I418" s="75"/>
      <c r="J418" s="96"/>
      <c r="K418" s="287"/>
      <c r="L418" s="313"/>
      <c r="M418" s="75"/>
      <c r="N418" s="96"/>
      <c r="O418" s="96"/>
      <c r="P418" s="287"/>
      <c r="Q418" s="449"/>
      <c r="R418" s="449"/>
      <c r="S418" s="459" t="e">
        <f t="shared" si="79"/>
        <v>#DIV/0!</v>
      </c>
    </row>
    <row r="419" spans="1:19" s="1" customFormat="1" ht="11.25" customHeight="1" hidden="1">
      <c r="A419" s="39" t="s">
        <v>307</v>
      </c>
      <c r="B419" s="71" t="s">
        <v>202</v>
      </c>
      <c r="C419" s="76" t="s">
        <v>240</v>
      </c>
      <c r="D419" s="76" t="s">
        <v>198</v>
      </c>
      <c r="E419" s="76" t="s">
        <v>316</v>
      </c>
      <c r="F419" s="78" t="s">
        <v>209</v>
      </c>
      <c r="G419" s="96">
        <f>G420+G421+G422+G427</f>
        <v>0</v>
      </c>
      <c r="H419" s="75">
        <f>H420+H421+H422+H427</f>
        <v>0</v>
      </c>
      <c r="I419" s="75">
        <f>I420+I421+I422+I427</f>
        <v>0</v>
      </c>
      <c r="J419" s="96">
        <f>J420+J421+J422+J427</f>
        <v>0</v>
      </c>
      <c r="K419" s="287">
        <f>K420+K421+K422+K427</f>
        <v>0</v>
      </c>
      <c r="L419" s="313"/>
      <c r="M419" s="75"/>
      <c r="N419" s="96"/>
      <c r="O419" s="96"/>
      <c r="P419" s="287"/>
      <c r="Q419" s="449"/>
      <c r="R419" s="449"/>
      <c r="S419" s="459" t="e">
        <f t="shared" si="79"/>
        <v>#DIV/0!</v>
      </c>
    </row>
    <row r="420" spans="1:19" s="1" customFormat="1" ht="11.25" customHeight="1" hidden="1">
      <c r="A420" s="39" t="s">
        <v>312</v>
      </c>
      <c r="B420" s="71" t="s">
        <v>202</v>
      </c>
      <c r="C420" s="76" t="s">
        <v>240</v>
      </c>
      <c r="D420" s="76" t="s">
        <v>198</v>
      </c>
      <c r="E420" s="76" t="s">
        <v>316</v>
      </c>
      <c r="F420" s="78" t="s">
        <v>209</v>
      </c>
      <c r="G420" s="96"/>
      <c r="H420" s="75"/>
      <c r="I420" s="75"/>
      <c r="J420" s="96"/>
      <c r="K420" s="287"/>
      <c r="L420" s="313"/>
      <c r="M420" s="75"/>
      <c r="N420" s="96"/>
      <c r="O420" s="96"/>
      <c r="P420" s="287"/>
      <c r="Q420" s="449"/>
      <c r="R420" s="449"/>
      <c r="S420" s="459" t="e">
        <f t="shared" si="79"/>
        <v>#DIV/0!</v>
      </c>
    </row>
    <row r="421" spans="1:19" s="1" customFormat="1" ht="11.25" customHeight="1" hidden="1">
      <c r="A421" s="39" t="s">
        <v>313</v>
      </c>
      <c r="B421" s="71" t="s">
        <v>202</v>
      </c>
      <c r="C421" s="76" t="s">
        <v>240</v>
      </c>
      <c r="D421" s="76" t="s">
        <v>198</v>
      </c>
      <c r="E421" s="76" t="s">
        <v>316</v>
      </c>
      <c r="F421" s="78" t="s">
        <v>209</v>
      </c>
      <c r="G421" s="96"/>
      <c r="H421" s="75"/>
      <c r="I421" s="75"/>
      <c r="J421" s="96"/>
      <c r="K421" s="287"/>
      <c r="L421" s="313"/>
      <c r="M421" s="75"/>
      <c r="N421" s="96"/>
      <c r="O421" s="96"/>
      <c r="P421" s="287"/>
      <c r="Q421" s="449"/>
      <c r="R421" s="449"/>
      <c r="S421" s="459" t="e">
        <f t="shared" si="79"/>
        <v>#DIV/0!</v>
      </c>
    </row>
    <row r="422" spans="1:19" s="1" customFormat="1" ht="11.25" customHeight="1" hidden="1">
      <c r="A422" s="39" t="s">
        <v>242</v>
      </c>
      <c r="B422" s="71" t="s">
        <v>202</v>
      </c>
      <c r="C422" s="76" t="s">
        <v>240</v>
      </c>
      <c r="D422" s="76" t="s">
        <v>198</v>
      </c>
      <c r="E422" s="76" t="s">
        <v>316</v>
      </c>
      <c r="F422" s="78" t="s">
        <v>209</v>
      </c>
      <c r="G422" s="96"/>
      <c r="H422" s="75"/>
      <c r="I422" s="75"/>
      <c r="J422" s="96"/>
      <c r="K422" s="287"/>
      <c r="L422" s="313"/>
      <c r="M422" s="75"/>
      <c r="N422" s="96"/>
      <c r="O422" s="96"/>
      <c r="P422" s="287"/>
      <c r="Q422" s="449"/>
      <c r="R422" s="449"/>
      <c r="S422" s="459" t="e">
        <f t="shared" si="79"/>
        <v>#DIV/0!</v>
      </c>
    </row>
    <row r="423" spans="1:19" s="1" customFormat="1" ht="11.25" customHeight="1" hidden="1">
      <c r="A423" s="45" t="s">
        <v>314</v>
      </c>
      <c r="B423" s="71" t="s">
        <v>202</v>
      </c>
      <c r="C423" s="76" t="s">
        <v>240</v>
      </c>
      <c r="D423" s="76" t="s">
        <v>198</v>
      </c>
      <c r="E423" s="76" t="s">
        <v>316</v>
      </c>
      <c r="F423" s="78" t="s">
        <v>209</v>
      </c>
      <c r="G423" s="96"/>
      <c r="H423" s="75"/>
      <c r="I423" s="75"/>
      <c r="J423" s="96"/>
      <c r="K423" s="287"/>
      <c r="L423" s="313"/>
      <c r="M423" s="75"/>
      <c r="N423" s="96"/>
      <c r="O423" s="96"/>
      <c r="P423" s="287"/>
      <c r="Q423" s="449"/>
      <c r="R423" s="449"/>
      <c r="S423" s="459" t="e">
        <f t="shared" si="79"/>
        <v>#DIV/0!</v>
      </c>
    </row>
    <row r="424" spans="1:19" s="1" customFormat="1" ht="11.25" customHeight="1" hidden="1">
      <c r="A424" s="39" t="s">
        <v>315</v>
      </c>
      <c r="B424" s="71" t="s">
        <v>202</v>
      </c>
      <c r="C424" s="76" t="s">
        <v>240</v>
      </c>
      <c r="D424" s="76" t="s">
        <v>198</v>
      </c>
      <c r="E424" s="76" t="s">
        <v>316</v>
      </c>
      <c r="F424" s="78" t="s">
        <v>209</v>
      </c>
      <c r="G424" s="96"/>
      <c r="H424" s="75"/>
      <c r="I424" s="75"/>
      <c r="J424" s="96"/>
      <c r="K424" s="287"/>
      <c r="L424" s="313"/>
      <c r="M424" s="75"/>
      <c r="N424" s="96"/>
      <c r="O424" s="96"/>
      <c r="P424" s="287"/>
      <c r="Q424" s="449"/>
      <c r="R424" s="449"/>
      <c r="S424" s="459" t="e">
        <f t="shared" si="79"/>
        <v>#DIV/0!</v>
      </c>
    </row>
    <row r="425" spans="1:19" s="1" customFormat="1" ht="11.25" customHeight="1" hidden="1">
      <c r="A425" s="39" t="s">
        <v>279</v>
      </c>
      <c r="B425" s="71" t="s">
        <v>202</v>
      </c>
      <c r="C425" s="76" t="s">
        <v>240</v>
      </c>
      <c r="D425" s="76" t="s">
        <v>198</v>
      </c>
      <c r="E425" s="76" t="s">
        <v>316</v>
      </c>
      <c r="F425" s="78" t="s">
        <v>209</v>
      </c>
      <c r="G425" s="96"/>
      <c r="H425" s="75"/>
      <c r="I425" s="75"/>
      <c r="J425" s="96"/>
      <c r="K425" s="287"/>
      <c r="L425" s="313"/>
      <c r="M425" s="75"/>
      <c r="N425" s="96"/>
      <c r="O425" s="96"/>
      <c r="P425" s="287"/>
      <c r="Q425" s="449"/>
      <c r="R425" s="449"/>
      <c r="S425" s="459" t="e">
        <f t="shared" si="79"/>
        <v>#DIV/0!</v>
      </c>
    </row>
    <row r="426" spans="1:19" s="1" customFormat="1" ht="11.25" customHeight="1" hidden="1">
      <c r="A426" s="39" t="s">
        <v>227</v>
      </c>
      <c r="B426" s="71" t="s">
        <v>202</v>
      </c>
      <c r="C426" s="76" t="s">
        <v>240</v>
      </c>
      <c r="D426" s="76" t="s">
        <v>198</v>
      </c>
      <c r="E426" s="76" t="s">
        <v>316</v>
      </c>
      <c r="F426" s="78" t="s">
        <v>209</v>
      </c>
      <c r="G426" s="96"/>
      <c r="H426" s="75"/>
      <c r="I426" s="75"/>
      <c r="J426" s="96"/>
      <c r="K426" s="287"/>
      <c r="L426" s="313"/>
      <c r="M426" s="75"/>
      <c r="N426" s="96"/>
      <c r="O426" s="96"/>
      <c r="P426" s="287"/>
      <c r="Q426" s="449"/>
      <c r="R426" s="449"/>
      <c r="S426" s="459" t="e">
        <f t="shared" si="79"/>
        <v>#DIV/0!</v>
      </c>
    </row>
    <row r="427" spans="1:19" s="1" customFormat="1" ht="16.5" hidden="1" thickBot="1">
      <c r="A427" s="39" t="s">
        <v>279</v>
      </c>
      <c r="B427" s="71" t="s">
        <v>202</v>
      </c>
      <c r="C427" s="76" t="s">
        <v>240</v>
      </c>
      <c r="D427" s="76" t="s">
        <v>198</v>
      </c>
      <c r="E427" s="76" t="s">
        <v>316</v>
      </c>
      <c r="F427" s="78" t="s">
        <v>209</v>
      </c>
      <c r="G427" s="96"/>
      <c r="H427" s="75"/>
      <c r="I427" s="75"/>
      <c r="J427" s="96"/>
      <c r="K427" s="287"/>
      <c r="L427" s="313"/>
      <c r="M427" s="75"/>
      <c r="N427" s="96"/>
      <c r="O427" s="96"/>
      <c r="P427" s="287"/>
      <c r="Q427" s="449"/>
      <c r="R427" s="449"/>
      <c r="S427" s="459" t="e">
        <f t="shared" si="79"/>
        <v>#DIV/0!</v>
      </c>
    </row>
    <row r="428" spans="1:19" s="1" customFormat="1" ht="16.5" hidden="1" thickBot="1">
      <c r="A428" s="46" t="s">
        <v>228</v>
      </c>
      <c r="B428" s="71" t="s">
        <v>202</v>
      </c>
      <c r="C428" s="76" t="s">
        <v>240</v>
      </c>
      <c r="D428" s="76" t="s">
        <v>198</v>
      </c>
      <c r="E428" s="76" t="s">
        <v>316</v>
      </c>
      <c r="F428" s="78" t="s">
        <v>209</v>
      </c>
      <c r="G428" s="96">
        <f>SUM(G429:G430)</f>
        <v>0</v>
      </c>
      <c r="H428" s="75">
        <f>SUM(H429:H430)</f>
        <v>0</v>
      </c>
      <c r="I428" s="75">
        <f>SUM(I429:I430)</f>
        <v>0</v>
      </c>
      <c r="J428" s="96">
        <f>SUM(J429:J430)</f>
        <v>0</v>
      </c>
      <c r="K428" s="287">
        <f>SUM(K429:K430)</f>
        <v>0</v>
      </c>
      <c r="L428" s="313"/>
      <c r="M428" s="75"/>
      <c r="N428" s="96"/>
      <c r="O428" s="96"/>
      <c r="P428" s="287"/>
      <c r="Q428" s="449"/>
      <c r="R428" s="449"/>
      <c r="S428" s="459" t="e">
        <f t="shared" si="79"/>
        <v>#DIV/0!</v>
      </c>
    </row>
    <row r="429" spans="1:19" s="1" customFormat="1" ht="16.5" hidden="1" thickBot="1">
      <c r="A429" s="39" t="s">
        <v>229</v>
      </c>
      <c r="B429" s="71" t="s">
        <v>202</v>
      </c>
      <c r="C429" s="76" t="s">
        <v>240</v>
      </c>
      <c r="D429" s="76" t="s">
        <v>198</v>
      </c>
      <c r="E429" s="76" t="s">
        <v>316</v>
      </c>
      <c r="F429" s="78" t="s">
        <v>209</v>
      </c>
      <c r="G429" s="96"/>
      <c r="H429" s="75"/>
      <c r="I429" s="75"/>
      <c r="J429" s="96"/>
      <c r="K429" s="287"/>
      <c r="L429" s="313"/>
      <c r="M429" s="75"/>
      <c r="N429" s="96"/>
      <c r="O429" s="96"/>
      <c r="P429" s="287"/>
      <c r="Q429" s="449"/>
      <c r="R429" s="449"/>
      <c r="S429" s="459" t="e">
        <f t="shared" si="79"/>
        <v>#DIV/0!</v>
      </c>
    </row>
    <row r="430" spans="1:19" s="1" customFormat="1" ht="16.5" hidden="1" thickBot="1">
      <c r="A430" s="39" t="s">
        <v>230</v>
      </c>
      <c r="B430" s="71" t="s">
        <v>202</v>
      </c>
      <c r="C430" s="76" t="s">
        <v>240</v>
      </c>
      <c r="D430" s="76" t="s">
        <v>198</v>
      </c>
      <c r="E430" s="76" t="s">
        <v>316</v>
      </c>
      <c r="F430" s="78" t="s">
        <v>209</v>
      </c>
      <c r="G430" s="96"/>
      <c r="H430" s="75"/>
      <c r="I430" s="75"/>
      <c r="J430" s="96"/>
      <c r="K430" s="287"/>
      <c r="L430" s="313"/>
      <c r="M430" s="75"/>
      <c r="N430" s="96"/>
      <c r="O430" s="96"/>
      <c r="P430" s="287"/>
      <c r="Q430" s="449"/>
      <c r="R430" s="449"/>
      <c r="S430" s="459" t="e">
        <f t="shared" si="79"/>
        <v>#DIV/0!</v>
      </c>
    </row>
    <row r="431" spans="1:19" s="1" customFormat="1" ht="26.25" hidden="1" thickBot="1">
      <c r="A431" s="39" t="s">
        <v>317</v>
      </c>
      <c r="B431" s="71" t="s">
        <v>202</v>
      </c>
      <c r="C431" s="72" t="s">
        <v>240</v>
      </c>
      <c r="D431" s="72" t="s">
        <v>198</v>
      </c>
      <c r="E431" s="76" t="s">
        <v>318</v>
      </c>
      <c r="F431" s="74" t="s">
        <v>201</v>
      </c>
      <c r="G431" s="96">
        <f aca="true" t="shared" si="81" ref="G431:K432">G432</f>
        <v>0</v>
      </c>
      <c r="H431" s="75">
        <f t="shared" si="81"/>
        <v>0</v>
      </c>
      <c r="I431" s="75">
        <f t="shared" si="81"/>
        <v>0</v>
      </c>
      <c r="J431" s="96">
        <f t="shared" si="81"/>
        <v>0</v>
      </c>
      <c r="K431" s="287">
        <f t="shared" si="81"/>
        <v>0</v>
      </c>
      <c r="L431" s="313"/>
      <c r="M431" s="75"/>
      <c r="N431" s="96"/>
      <c r="O431" s="96"/>
      <c r="P431" s="287"/>
      <c r="Q431" s="449"/>
      <c r="R431" s="449"/>
      <c r="S431" s="459" t="e">
        <f t="shared" si="79"/>
        <v>#DIV/0!</v>
      </c>
    </row>
    <row r="432" spans="1:19" s="1" customFormat="1" ht="11.25" customHeight="1" hidden="1">
      <c r="A432" s="46" t="s">
        <v>220</v>
      </c>
      <c r="B432" s="71" t="s">
        <v>202</v>
      </c>
      <c r="C432" s="76" t="s">
        <v>240</v>
      </c>
      <c r="D432" s="76" t="s">
        <v>198</v>
      </c>
      <c r="E432" s="76" t="s">
        <v>318</v>
      </c>
      <c r="F432" s="78" t="s">
        <v>201</v>
      </c>
      <c r="G432" s="96">
        <f t="shared" si="81"/>
        <v>0</v>
      </c>
      <c r="H432" s="75">
        <f t="shared" si="81"/>
        <v>0</v>
      </c>
      <c r="I432" s="75">
        <f t="shared" si="81"/>
        <v>0</v>
      </c>
      <c r="J432" s="96">
        <f t="shared" si="81"/>
        <v>0</v>
      </c>
      <c r="K432" s="287">
        <f t="shared" si="81"/>
        <v>0</v>
      </c>
      <c r="L432" s="313"/>
      <c r="M432" s="75"/>
      <c r="N432" s="96"/>
      <c r="O432" s="96"/>
      <c r="P432" s="287"/>
      <c r="Q432" s="449"/>
      <c r="R432" s="449"/>
      <c r="S432" s="459" t="e">
        <f t="shared" si="79"/>
        <v>#DIV/0!</v>
      </c>
    </row>
    <row r="433" spans="1:19" s="1" customFormat="1" ht="16.5" hidden="1" thickBot="1">
      <c r="A433" s="46" t="s">
        <v>208</v>
      </c>
      <c r="B433" s="71" t="s">
        <v>202</v>
      </c>
      <c r="C433" s="76" t="s">
        <v>240</v>
      </c>
      <c r="D433" s="76" t="s">
        <v>198</v>
      </c>
      <c r="E433" s="76" t="s">
        <v>318</v>
      </c>
      <c r="F433" s="78" t="s">
        <v>209</v>
      </c>
      <c r="G433" s="96">
        <f>G434+G448</f>
        <v>0</v>
      </c>
      <c r="H433" s="75">
        <f>H434+H448</f>
        <v>0</v>
      </c>
      <c r="I433" s="75">
        <f>I434+I448</f>
        <v>0</v>
      </c>
      <c r="J433" s="96">
        <f>J434+J448</f>
        <v>0</v>
      </c>
      <c r="K433" s="287">
        <f>K434+K448</f>
        <v>0</v>
      </c>
      <c r="L433" s="313"/>
      <c r="M433" s="75"/>
      <c r="N433" s="96"/>
      <c r="O433" s="96"/>
      <c r="P433" s="287"/>
      <c r="Q433" s="449"/>
      <c r="R433" s="449"/>
      <c r="S433" s="459" t="e">
        <f t="shared" si="79"/>
        <v>#DIV/0!</v>
      </c>
    </row>
    <row r="434" spans="1:19" s="1" customFormat="1" ht="16.5" hidden="1" thickBot="1">
      <c r="A434" s="45" t="s">
        <v>210</v>
      </c>
      <c r="B434" s="71" t="s">
        <v>202</v>
      </c>
      <c r="C434" s="76" t="s">
        <v>240</v>
      </c>
      <c r="D434" s="76" t="s">
        <v>198</v>
      </c>
      <c r="E434" s="76" t="s">
        <v>318</v>
      </c>
      <c r="F434" s="78" t="s">
        <v>209</v>
      </c>
      <c r="G434" s="96">
        <f>G435+G439+G447</f>
        <v>0</v>
      </c>
      <c r="H434" s="75">
        <f>H435+H439+H447</f>
        <v>0</v>
      </c>
      <c r="I434" s="75">
        <f>I435+I439+I447</f>
        <v>0</v>
      </c>
      <c r="J434" s="96">
        <f>J435+J439+J447</f>
        <v>0</v>
      </c>
      <c r="K434" s="287">
        <f>K435+K439+K447</f>
        <v>0</v>
      </c>
      <c r="L434" s="313"/>
      <c r="M434" s="75"/>
      <c r="N434" s="96"/>
      <c r="O434" s="96"/>
      <c r="P434" s="287"/>
      <c r="Q434" s="449"/>
      <c r="R434" s="449"/>
      <c r="S434" s="459" t="e">
        <f t="shared" si="79"/>
        <v>#DIV/0!</v>
      </c>
    </row>
    <row r="435" spans="1:19" s="1" customFormat="1" ht="16.5" hidden="1" thickBot="1">
      <c r="A435" s="45" t="s">
        <v>310</v>
      </c>
      <c r="B435" s="71" t="s">
        <v>202</v>
      </c>
      <c r="C435" s="76" t="s">
        <v>240</v>
      </c>
      <c r="D435" s="76" t="s">
        <v>198</v>
      </c>
      <c r="E435" s="76" t="s">
        <v>318</v>
      </c>
      <c r="F435" s="78" t="s">
        <v>209</v>
      </c>
      <c r="G435" s="96">
        <f>SUM(G436:G438)</f>
        <v>0</v>
      </c>
      <c r="H435" s="75">
        <f>SUM(H436:H438)</f>
        <v>0</v>
      </c>
      <c r="I435" s="75">
        <f>SUM(I436:I438)</f>
        <v>0</v>
      </c>
      <c r="J435" s="96">
        <f>SUM(J436:J438)</f>
        <v>0</v>
      </c>
      <c r="K435" s="287">
        <f>SUM(K436:K438)</f>
        <v>0</v>
      </c>
      <c r="L435" s="313"/>
      <c r="M435" s="75"/>
      <c r="N435" s="96"/>
      <c r="O435" s="96"/>
      <c r="P435" s="287"/>
      <c r="Q435" s="449"/>
      <c r="R435" s="449"/>
      <c r="S435" s="459" t="e">
        <f t="shared" si="79"/>
        <v>#DIV/0!</v>
      </c>
    </row>
    <row r="436" spans="1:19" s="1" customFormat="1" ht="16.5" hidden="1" thickBot="1">
      <c r="A436" s="39" t="s">
        <v>212</v>
      </c>
      <c r="B436" s="71" t="s">
        <v>202</v>
      </c>
      <c r="C436" s="76" t="s">
        <v>240</v>
      </c>
      <c r="D436" s="76" t="s">
        <v>198</v>
      </c>
      <c r="E436" s="76" t="s">
        <v>318</v>
      </c>
      <c r="F436" s="78" t="s">
        <v>209</v>
      </c>
      <c r="G436" s="96">
        <v>0</v>
      </c>
      <c r="H436" s="75">
        <v>0</v>
      </c>
      <c r="I436" s="75">
        <v>0</v>
      </c>
      <c r="J436" s="96">
        <v>0</v>
      </c>
      <c r="K436" s="287">
        <v>0</v>
      </c>
      <c r="L436" s="313"/>
      <c r="M436" s="75"/>
      <c r="N436" s="96"/>
      <c r="O436" s="96"/>
      <c r="P436" s="287"/>
      <c r="Q436" s="449"/>
      <c r="R436" s="449"/>
      <c r="S436" s="459" t="e">
        <f t="shared" si="79"/>
        <v>#DIV/0!</v>
      </c>
    </row>
    <row r="437" spans="1:19" s="1" customFormat="1" ht="16.5" hidden="1" thickBot="1">
      <c r="A437" s="39" t="s">
        <v>213</v>
      </c>
      <c r="B437" s="71" t="s">
        <v>202</v>
      </c>
      <c r="C437" s="76" t="s">
        <v>240</v>
      </c>
      <c r="D437" s="76" t="s">
        <v>198</v>
      </c>
      <c r="E437" s="76" t="s">
        <v>318</v>
      </c>
      <c r="F437" s="78" t="s">
        <v>209</v>
      </c>
      <c r="G437" s="96"/>
      <c r="H437" s="75"/>
      <c r="I437" s="75"/>
      <c r="J437" s="96"/>
      <c r="K437" s="287"/>
      <c r="L437" s="313"/>
      <c r="M437" s="75"/>
      <c r="N437" s="96"/>
      <c r="O437" s="96"/>
      <c r="P437" s="287"/>
      <c r="Q437" s="449"/>
      <c r="R437" s="449"/>
      <c r="S437" s="459" t="e">
        <f t="shared" si="79"/>
        <v>#DIV/0!</v>
      </c>
    </row>
    <row r="438" spans="1:19" s="1" customFormat="1" ht="16.5" hidden="1" thickBot="1">
      <c r="A438" s="39" t="s">
        <v>311</v>
      </c>
      <c r="B438" s="71" t="s">
        <v>202</v>
      </c>
      <c r="C438" s="76" t="s">
        <v>240</v>
      </c>
      <c r="D438" s="76" t="s">
        <v>198</v>
      </c>
      <c r="E438" s="76" t="s">
        <v>318</v>
      </c>
      <c r="F438" s="78" t="s">
        <v>209</v>
      </c>
      <c r="G438" s="96">
        <v>0</v>
      </c>
      <c r="H438" s="75">
        <v>0</v>
      </c>
      <c r="I438" s="75">
        <v>0</v>
      </c>
      <c r="J438" s="96">
        <v>0</v>
      </c>
      <c r="K438" s="287">
        <v>0</v>
      </c>
      <c r="L438" s="313"/>
      <c r="M438" s="75"/>
      <c r="N438" s="96"/>
      <c r="O438" s="96"/>
      <c r="P438" s="287"/>
      <c r="Q438" s="449"/>
      <c r="R438" s="449"/>
      <c r="S438" s="459" t="e">
        <f t="shared" si="79"/>
        <v>#DIV/0!</v>
      </c>
    </row>
    <row r="439" spans="1:19" s="1" customFormat="1" ht="11.25" customHeight="1" hidden="1">
      <c r="A439" s="39" t="s">
        <v>307</v>
      </c>
      <c r="B439" s="71" t="s">
        <v>202</v>
      </c>
      <c r="C439" s="76" t="s">
        <v>240</v>
      </c>
      <c r="D439" s="76" t="s">
        <v>198</v>
      </c>
      <c r="E439" s="76" t="s">
        <v>318</v>
      </c>
      <c r="F439" s="78" t="s">
        <v>209</v>
      </c>
      <c r="G439" s="96">
        <f>SUM(G440:G446)</f>
        <v>0</v>
      </c>
      <c r="H439" s="75">
        <f>SUM(H440:H446)</f>
        <v>0</v>
      </c>
      <c r="I439" s="75">
        <f>SUM(I440:I446)</f>
        <v>0</v>
      </c>
      <c r="J439" s="96">
        <f>SUM(J440:J446)</f>
        <v>0</v>
      </c>
      <c r="K439" s="287">
        <f>SUM(K440:K446)</f>
        <v>0</v>
      </c>
      <c r="L439" s="313"/>
      <c r="M439" s="75"/>
      <c r="N439" s="96"/>
      <c r="O439" s="96"/>
      <c r="P439" s="287"/>
      <c r="Q439" s="449"/>
      <c r="R439" s="449"/>
      <c r="S439" s="459" t="e">
        <f t="shared" si="79"/>
        <v>#DIV/0!</v>
      </c>
    </row>
    <row r="440" spans="1:19" s="1" customFormat="1" ht="16.5" hidden="1" thickBot="1">
      <c r="A440" s="39" t="s">
        <v>312</v>
      </c>
      <c r="B440" s="71" t="s">
        <v>202</v>
      </c>
      <c r="C440" s="76" t="s">
        <v>240</v>
      </c>
      <c r="D440" s="76" t="s">
        <v>198</v>
      </c>
      <c r="E440" s="76" t="s">
        <v>318</v>
      </c>
      <c r="F440" s="78" t="s">
        <v>209</v>
      </c>
      <c r="G440" s="96"/>
      <c r="H440" s="75"/>
      <c r="I440" s="75"/>
      <c r="J440" s="96"/>
      <c r="K440" s="287"/>
      <c r="L440" s="313"/>
      <c r="M440" s="75"/>
      <c r="N440" s="96"/>
      <c r="O440" s="96"/>
      <c r="P440" s="287"/>
      <c r="Q440" s="449"/>
      <c r="R440" s="449"/>
      <c r="S440" s="459" t="e">
        <f t="shared" si="79"/>
        <v>#DIV/0!</v>
      </c>
    </row>
    <row r="441" spans="1:19" s="1" customFormat="1" ht="16.5" hidden="1" thickBot="1">
      <c r="A441" s="39" t="s">
        <v>313</v>
      </c>
      <c r="B441" s="71" t="s">
        <v>202</v>
      </c>
      <c r="C441" s="76" t="s">
        <v>240</v>
      </c>
      <c r="D441" s="76" t="s">
        <v>198</v>
      </c>
      <c r="E441" s="76" t="s">
        <v>318</v>
      </c>
      <c r="F441" s="78" t="s">
        <v>209</v>
      </c>
      <c r="G441" s="96"/>
      <c r="H441" s="75"/>
      <c r="I441" s="75"/>
      <c r="J441" s="96"/>
      <c r="K441" s="287"/>
      <c r="L441" s="313"/>
      <c r="M441" s="75"/>
      <c r="N441" s="96"/>
      <c r="O441" s="96"/>
      <c r="P441" s="287"/>
      <c r="Q441" s="449"/>
      <c r="R441" s="449"/>
      <c r="S441" s="459" t="e">
        <f t="shared" si="79"/>
        <v>#DIV/0!</v>
      </c>
    </row>
    <row r="442" spans="1:19" s="1" customFormat="1" ht="16.5" hidden="1" thickBot="1">
      <c r="A442" s="39" t="s">
        <v>242</v>
      </c>
      <c r="B442" s="71" t="s">
        <v>202</v>
      </c>
      <c r="C442" s="76" t="s">
        <v>240</v>
      </c>
      <c r="D442" s="76" t="s">
        <v>198</v>
      </c>
      <c r="E442" s="76" t="s">
        <v>318</v>
      </c>
      <c r="F442" s="78" t="s">
        <v>209</v>
      </c>
      <c r="G442" s="96"/>
      <c r="H442" s="75"/>
      <c r="I442" s="75"/>
      <c r="J442" s="96"/>
      <c r="K442" s="287"/>
      <c r="L442" s="313"/>
      <c r="M442" s="75"/>
      <c r="N442" s="96"/>
      <c r="O442" s="96"/>
      <c r="P442" s="287"/>
      <c r="Q442" s="449"/>
      <c r="R442" s="449"/>
      <c r="S442" s="459" t="e">
        <f t="shared" si="79"/>
        <v>#DIV/0!</v>
      </c>
    </row>
    <row r="443" spans="1:19" s="1" customFormat="1" ht="16.5" hidden="1" thickBot="1">
      <c r="A443" s="45" t="s">
        <v>314</v>
      </c>
      <c r="B443" s="71" t="s">
        <v>202</v>
      </c>
      <c r="C443" s="76" t="s">
        <v>240</v>
      </c>
      <c r="D443" s="76" t="s">
        <v>198</v>
      </c>
      <c r="E443" s="76" t="s">
        <v>318</v>
      </c>
      <c r="F443" s="78" t="s">
        <v>209</v>
      </c>
      <c r="G443" s="96"/>
      <c r="H443" s="75"/>
      <c r="I443" s="75"/>
      <c r="J443" s="96"/>
      <c r="K443" s="287"/>
      <c r="L443" s="313"/>
      <c r="M443" s="75"/>
      <c r="N443" s="96"/>
      <c r="O443" s="96"/>
      <c r="P443" s="287"/>
      <c r="Q443" s="449"/>
      <c r="R443" s="449"/>
      <c r="S443" s="459" t="e">
        <f t="shared" si="79"/>
        <v>#DIV/0!</v>
      </c>
    </row>
    <row r="444" spans="1:19" s="1" customFormat="1" ht="16.5" hidden="1" thickBot="1">
      <c r="A444" s="39" t="s">
        <v>315</v>
      </c>
      <c r="B444" s="71" t="s">
        <v>202</v>
      </c>
      <c r="C444" s="76" t="s">
        <v>240</v>
      </c>
      <c r="D444" s="76" t="s">
        <v>198</v>
      </c>
      <c r="E444" s="76" t="s">
        <v>318</v>
      </c>
      <c r="F444" s="78" t="s">
        <v>209</v>
      </c>
      <c r="G444" s="96"/>
      <c r="H444" s="75"/>
      <c r="I444" s="75"/>
      <c r="J444" s="96"/>
      <c r="K444" s="287"/>
      <c r="L444" s="313"/>
      <c r="M444" s="75"/>
      <c r="N444" s="96"/>
      <c r="O444" s="96"/>
      <c r="P444" s="287"/>
      <c r="Q444" s="449"/>
      <c r="R444" s="449"/>
      <c r="S444" s="459" t="e">
        <f t="shared" si="79"/>
        <v>#DIV/0!</v>
      </c>
    </row>
    <row r="445" spans="1:19" s="1" customFormat="1" ht="16.5" hidden="1" thickBot="1">
      <c r="A445" s="39" t="s">
        <v>312</v>
      </c>
      <c r="B445" s="71" t="s">
        <v>202</v>
      </c>
      <c r="C445" s="76" t="s">
        <v>240</v>
      </c>
      <c r="D445" s="76" t="s">
        <v>198</v>
      </c>
      <c r="E445" s="76" t="s">
        <v>318</v>
      </c>
      <c r="F445" s="78" t="s">
        <v>209</v>
      </c>
      <c r="G445" s="96">
        <v>0</v>
      </c>
      <c r="H445" s="75">
        <v>0</v>
      </c>
      <c r="I445" s="75">
        <v>0</v>
      </c>
      <c r="J445" s="96">
        <v>0</v>
      </c>
      <c r="K445" s="287">
        <v>0</v>
      </c>
      <c r="L445" s="313"/>
      <c r="M445" s="75"/>
      <c r="N445" s="96"/>
      <c r="O445" s="96"/>
      <c r="P445" s="287"/>
      <c r="Q445" s="449"/>
      <c r="R445" s="449"/>
      <c r="S445" s="459" t="e">
        <f t="shared" si="79"/>
        <v>#DIV/0!</v>
      </c>
    </row>
    <row r="446" spans="1:19" s="1" customFormat="1" ht="11.25" customHeight="1" hidden="1">
      <c r="A446" s="39" t="s">
        <v>279</v>
      </c>
      <c r="B446" s="71" t="s">
        <v>202</v>
      </c>
      <c r="C446" s="76" t="s">
        <v>240</v>
      </c>
      <c r="D446" s="76" t="s">
        <v>198</v>
      </c>
      <c r="E446" s="76" t="s">
        <v>318</v>
      </c>
      <c r="F446" s="78" t="s">
        <v>209</v>
      </c>
      <c r="G446" s="96"/>
      <c r="H446" s="75"/>
      <c r="I446" s="75"/>
      <c r="J446" s="96"/>
      <c r="K446" s="287"/>
      <c r="L446" s="313"/>
      <c r="M446" s="75"/>
      <c r="N446" s="96"/>
      <c r="O446" s="96"/>
      <c r="P446" s="287"/>
      <c r="Q446" s="449"/>
      <c r="R446" s="449"/>
      <c r="S446" s="459" t="e">
        <f t="shared" si="79"/>
        <v>#DIV/0!</v>
      </c>
    </row>
    <row r="447" spans="1:19" s="1" customFormat="1" ht="11.25" customHeight="1" hidden="1">
      <c r="A447" s="39" t="s">
        <v>227</v>
      </c>
      <c r="B447" s="71" t="s">
        <v>202</v>
      </c>
      <c r="C447" s="76" t="s">
        <v>240</v>
      </c>
      <c r="D447" s="76" t="s">
        <v>198</v>
      </c>
      <c r="E447" s="76" t="s">
        <v>318</v>
      </c>
      <c r="F447" s="78" t="s">
        <v>209</v>
      </c>
      <c r="G447" s="96"/>
      <c r="H447" s="75"/>
      <c r="I447" s="75"/>
      <c r="J447" s="96"/>
      <c r="K447" s="287"/>
      <c r="L447" s="313"/>
      <c r="M447" s="75"/>
      <c r="N447" s="96"/>
      <c r="O447" s="96"/>
      <c r="P447" s="287"/>
      <c r="Q447" s="449"/>
      <c r="R447" s="449"/>
      <c r="S447" s="459" t="e">
        <f t="shared" si="79"/>
        <v>#DIV/0!</v>
      </c>
    </row>
    <row r="448" spans="1:19" s="1" customFormat="1" ht="16.5" hidden="1" thickBot="1">
      <c r="A448" s="46" t="s">
        <v>228</v>
      </c>
      <c r="B448" s="71" t="s">
        <v>202</v>
      </c>
      <c r="C448" s="76" t="s">
        <v>240</v>
      </c>
      <c r="D448" s="76" t="s">
        <v>198</v>
      </c>
      <c r="E448" s="76" t="s">
        <v>318</v>
      </c>
      <c r="F448" s="78" t="s">
        <v>209</v>
      </c>
      <c r="G448" s="96">
        <f>SUM(G449:G450)</f>
        <v>0</v>
      </c>
      <c r="H448" s="75">
        <f>SUM(H449:H450)</f>
        <v>0</v>
      </c>
      <c r="I448" s="75">
        <f>SUM(I449:I450)</f>
        <v>0</v>
      </c>
      <c r="J448" s="96">
        <f>SUM(J449:J450)</f>
        <v>0</v>
      </c>
      <c r="K448" s="287">
        <f>SUM(K449:K450)</f>
        <v>0</v>
      </c>
      <c r="L448" s="313"/>
      <c r="M448" s="75"/>
      <c r="N448" s="96"/>
      <c r="O448" s="96"/>
      <c r="P448" s="287"/>
      <c r="Q448" s="449"/>
      <c r="R448" s="449"/>
      <c r="S448" s="459" t="e">
        <f t="shared" si="79"/>
        <v>#DIV/0!</v>
      </c>
    </row>
    <row r="449" spans="1:19" s="1" customFormat="1" ht="16.5" hidden="1" thickBot="1">
      <c r="A449" s="39" t="s">
        <v>229</v>
      </c>
      <c r="B449" s="71" t="s">
        <v>202</v>
      </c>
      <c r="C449" s="76" t="s">
        <v>240</v>
      </c>
      <c r="D449" s="76" t="s">
        <v>198</v>
      </c>
      <c r="E449" s="76" t="s">
        <v>318</v>
      </c>
      <c r="F449" s="78" t="s">
        <v>209</v>
      </c>
      <c r="G449" s="96"/>
      <c r="H449" s="75"/>
      <c r="I449" s="75"/>
      <c r="J449" s="96"/>
      <c r="K449" s="287"/>
      <c r="L449" s="313"/>
      <c r="M449" s="75"/>
      <c r="N449" s="96"/>
      <c r="O449" s="96"/>
      <c r="P449" s="287"/>
      <c r="Q449" s="449"/>
      <c r="R449" s="449"/>
      <c r="S449" s="459" t="e">
        <f t="shared" si="79"/>
        <v>#DIV/0!</v>
      </c>
    </row>
    <row r="450" spans="1:19" s="1" customFormat="1" ht="16.5" hidden="1" thickBot="1">
      <c r="A450" s="135" t="s">
        <v>230</v>
      </c>
      <c r="B450" s="90" t="s">
        <v>202</v>
      </c>
      <c r="C450" s="91" t="s">
        <v>240</v>
      </c>
      <c r="D450" s="91" t="s">
        <v>198</v>
      </c>
      <c r="E450" s="91" t="s">
        <v>318</v>
      </c>
      <c r="F450" s="93" t="s">
        <v>209</v>
      </c>
      <c r="G450" s="203">
        <v>0</v>
      </c>
      <c r="H450" s="121">
        <v>0</v>
      </c>
      <c r="I450" s="121">
        <v>0</v>
      </c>
      <c r="J450" s="203">
        <v>0</v>
      </c>
      <c r="K450" s="268">
        <v>0</v>
      </c>
      <c r="L450" s="313"/>
      <c r="M450" s="75"/>
      <c r="N450" s="96"/>
      <c r="O450" s="96"/>
      <c r="P450" s="287"/>
      <c r="Q450" s="449"/>
      <c r="R450" s="449"/>
      <c r="S450" s="459" t="e">
        <f t="shared" si="79"/>
        <v>#DIV/0!</v>
      </c>
    </row>
    <row r="451" spans="1:19" s="1" customFormat="1" ht="15.75" customHeight="1" hidden="1" thickBot="1">
      <c r="A451" s="395" t="s">
        <v>501</v>
      </c>
      <c r="B451" s="57" t="s">
        <v>202</v>
      </c>
      <c r="C451" s="58" t="s">
        <v>240</v>
      </c>
      <c r="D451" s="58" t="s">
        <v>253</v>
      </c>
      <c r="E451" s="84"/>
      <c r="F451" s="86"/>
      <c r="G451" s="274">
        <f aca="true" t="shared" si="82" ref="G451:P451">G453</f>
        <v>0</v>
      </c>
      <c r="H451" s="274">
        <f t="shared" si="82"/>
        <v>0</v>
      </c>
      <c r="I451" s="274">
        <f t="shared" si="82"/>
        <v>0</v>
      </c>
      <c r="J451" s="274">
        <f t="shared" si="82"/>
        <v>1000</v>
      </c>
      <c r="K451" s="304">
        <f t="shared" si="82"/>
        <v>1000</v>
      </c>
      <c r="L451" s="304">
        <f t="shared" si="82"/>
        <v>0</v>
      </c>
      <c r="M451" s="304">
        <f t="shared" si="82"/>
        <v>-947.6</v>
      </c>
      <c r="N451" s="304">
        <f t="shared" si="82"/>
        <v>52.39999999999998</v>
      </c>
      <c r="O451" s="304">
        <f t="shared" si="82"/>
        <v>0</v>
      </c>
      <c r="P451" s="304">
        <f t="shared" si="82"/>
        <v>0</v>
      </c>
      <c r="Q451" s="449">
        <f aca="true" t="shared" si="83" ref="Q451:R454">Q452</f>
        <v>0</v>
      </c>
      <c r="R451" s="449">
        <f t="shared" si="83"/>
        <v>0</v>
      </c>
      <c r="S451" s="459" t="e">
        <f t="shared" si="79"/>
        <v>#DIV/0!</v>
      </c>
    </row>
    <row r="452" spans="1:19" s="1" customFormat="1" ht="0.75" customHeight="1" hidden="1" thickBot="1">
      <c r="A452" s="392" t="s">
        <v>541</v>
      </c>
      <c r="B452" s="393" t="s">
        <v>202</v>
      </c>
      <c r="C452" s="394" t="s">
        <v>240</v>
      </c>
      <c r="D452" s="394" t="s">
        <v>253</v>
      </c>
      <c r="E452" s="112" t="s">
        <v>329</v>
      </c>
      <c r="F452" s="101"/>
      <c r="G452" s="88">
        <f aca="true" t="shared" si="84" ref="G452:P454">G453</f>
        <v>0</v>
      </c>
      <c r="H452" s="88">
        <f t="shared" si="84"/>
        <v>0</v>
      </c>
      <c r="I452" s="88">
        <f t="shared" si="84"/>
        <v>0</v>
      </c>
      <c r="J452" s="88">
        <f t="shared" si="84"/>
        <v>1000</v>
      </c>
      <c r="K452" s="290">
        <f t="shared" si="84"/>
        <v>1000</v>
      </c>
      <c r="L452" s="290">
        <f t="shared" si="84"/>
        <v>0</v>
      </c>
      <c r="M452" s="290">
        <f t="shared" si="84"/>
        <v>-947.6</v>
      </c>
      <c r="N452" s="290">
        <f t="shared" si="84"/>
        <v>52.39999999999998</v>
      </c>
      <c r="O452" s="290">
        <f t="shared" si="84"/>
        <v>0</v>
      </c>
      <c r="P452" s="290">
        <f t="shared" si="84"/>
        <v>0</v>
      </c>
      <c r="Q452" s="449">
        <f t="shared" si="83"/>
        <v>0</v>
      </c>
      <c r="R452" s="449">
        <f t="shared" si="83"/>
        <v>0</v>
      </c>
      <c r="S452" s="459" t="e">
        <f t="shared" si="79"/>
        <v>#DIV/0!</v>
      </c>
    </row>
    <row r="453" spans="1:19" s="1" customFormat="1" ht="43.5" hidden="1" thickBot="1">
      <c r="A453" s="390" t="s">
        <v>504</v>
      </c>
      <c r="B453" s="391" t="s">
        <v>202</v>
      </c>
      <c r="C453" s="362" t="s">
        <v>240</v>
      </c>
      <c r="D453" s="362" t="s">
        <v>253</v>
      </c>
      <c r="E453" s="72" t="s">
        <v>502</v>
      </c>
      <c r="F453" s="78"/>
      <c r="G453" s="96">
        <f t="shared" si="84"/>
        <v>0</v>
      </c>
      <c r="H453" s="96">
        <f t="shared" si="84"/>
        <v>0</v>
      </c>
      <c r="I453" s="96">
        <f t="shared" si="84"/>
        <v>0</v>
      </c>
      <c r="J453" s="96">
        <f t="shared" si="84"/>
        <v>1000</v>
      </c>
      <c r="K453" s="287">
        <f t="shared" si="84"/>
        <v>1000</v>
      </c>
      <c r="L453" s="287">
        <f t="shared" si="84"/>
        <v>0</v>
      </c>
      <c r="M453" s="287">
        <f t="shared" si="84"/>
        <v>-947.6</v>
      </c>
      <c r="N453" s="287">
        <f t="shared" si="84"/>
        <v>52.39999999999998</v>
      </c>
      <c r="O453" s="287">
        <f t="shared" si="84"/>
        <v>0</v>
      </c>
      <c r="P453" s="287">
        <f t="shared" si="84"/>
        <v>0</v>
      </c>
      <c r="Q453" s="449">
        <f t="shared" si="83"/>
        <v>0</v>
      </c>
      <c r="R453" s="449">
        <f t="shared" si="83"/>
        <v>0</v>
      </c>
      <c r="S453" s="459" t="e">
        <f t="shared" si="79"/>
        <v>#DIV/0!</v>
      </c>
    </row>
    <row r="454" spans="1:19" s="1" customFormat="1" ht="26.25" hidden="1" thickBot="1">
      <c r="A454" s="46" t="s">
        <v>505</v>
      </c>
      <c r="B454" s="391" t="s">
        <v>202</v>
      </c>
      <c r="C454" s="362" t="s">
        <v>240</v>
      </c>
      <c r="D454" s="362" t="s">
        <v>253</v>
      </c>
      <c r="E454" s="72" t="s">
        <v>503</v>
      </c>
      <c r="F454" s="78"/>
      <c r="G454" s="96">
        <f t="shared" si="84"/>
        <v>0</v>
      </c>
      <c r="H454" s="96">
        <f t="shared" si="84"/>
        <v>0</v>
      </c>
      <c r="I454" s="96">
        <f t="shared" si="84"/>
        <v>0</v>
      </c>
      <c r="J454" s="96">
        <f t="shared" si="84"/>
        <v>1000</v>
      </c>
      <c r="K454" s="287">
        <f>K455</f>
        <v>1000</v>
      </c>
      <c r="L454" s="287">
        <f t="shared" si="84"/>
        <v>0</v>
      </c>
      <c r="M454" s="287">
        <f t="shared" si="84"/>
        <v>-947.6</v>
      </c>
      <c r="N454" s="287">
        <f t="shared" si="84"/>
        <v>52.39999999999998</v>
      </c>
      <c r="O454" s="287">
        <f t="shared" si="84"/>
        <v>0</v>
      </c>
      <c r="P454" s="287">
        <f t="shared" si="84"/>
        <v>0</v>
      </c>
      <c r="Q454" s="449">
        <f t="shared" si="83"/>
        <v>0</v>
      </c>
      <c r="R454" s="449">
        <f t="shared" si="83"/>
        <v>0</v>
      </c>
      <c r="S454" s="459" t="e">
        <f t="shared" si="79"/>
        <v>#DIV/0!</v>
      </c>
    </row>
    <row r="455" spans="1:19" s="1" customFormat="1" ht="15.75" customHeight="1" hidden="1" thickBot="1">
      <c r="A455" s="440" t="s">
        <v>109</v>
      </c>
      <c r="B455" s="220" t="s">
        <v>202</v>
      </c>
      <c r="C455" s="79" t="s">
        <v>240</v>
      </c>
      <c r="D455" s="79" t="s">
        <v>253</v>
      </c>
      <c r="E455" s="79" t="s">
        <v>503</v>
      </c>
      <c r="F455" s="81" t="s">
        <v>106</v>
      </c>
      <c r="G455" s="257"/>
      <c r="H455" s="257"/>
      <c r="I455" s="257"/>
      <c r="J455" s="257">
        <v>1000</v>
      </c>
      <c r="K455" s="281">
        <f>G455+J455</f>
        <v>1000</v>
      </c>
      <c r="L455" s="360"/>
      <c r="M455" s="55">
        <f>-782.6-165</f>
        <v>-947.6</v>
      </c>
      <c r="N455" s="88">
        <f>K455+L455+M455</f>
        <v>52.39999999999998</v>
      </c>
      <c r="O455" s="88"/>
      <c r="P455" s="290"/>
      <c r="Q455" s="460">
        <v>0</v>
      </c>
      <c r="R455" s="460">
        <v>0</v>
      </c>
      <c r="S455" s="461" t="e">
        <f t="shared" si="79"/>
        <v>#DIV/0!</v>
      </c>
    </row>
    <row r="456" spans="1:19" s="1" customFormat="1" ht="16.5" customHeight="1" thickBot="1">
      <c r="A456" s="211" t="s">
        <v>319</v>
      </c>
      <c r="B456" s="212" t="s">
        <v>202</v>
      </c>
      <c r="C456" s="19" t="s">
        <v>240</v>
      </c>
      <c r="D456" s="19" t="s">
        <v>320</v>
      </c>
      <c r="E456" s="19"/>
      <c r="F456" s="21"/>
      <c r="G456" s="199">
        <f aca="true" t="shared" si="85" ref="G456:M456">G469+G492</f>
        <v>968</v>
      </c>
      <c r="H456" s="199">
        <f t="shared" si="85"/>
        <v>210</v>
      </c>
      <c r="I456" s="199">
        <f t="shared" si="85"/>
        <v>230</v>
      </c>
      <c r="J456" s="199">
        <f t="shared" si="85"/>
        <v>5</v>
      </c>
      <c r="K456" s="285">
        <f t="shared" si="85"/>
        <v>973</v>
      </c>
      <c r="L456" s="285">
        <f t="shared" si="85"/>
        <v>200</v>
      </c>
      <c r="M456" s="285">
        <f t="shared" si="85"/>
        <v>374.341</v>
      </c>
      <c r="N456" s="285">
        <f>N469+N492+N486+N489</f>
        <v>1547.3410000000001</v>
      </c>
      <c r="O456" s="285">
        <f>O469+O492+O486+O489</f>
        <v>0</v>
      </c>
      <c r="P456" s="285">
        <f>P469+P492+P486+P489</f>
        <v>1269.8</v>
      </c>
      <c r="Q456" s="492">
        <f>Q469+Q492+Q486+Q489</f>
        <v>2817.141</v>
      </c>
      <c r="R456" s="493">
        <f>R469+R492+R486+R489</f>
        <v>2644.48981</v>
      </c>
      <c r="S456" s="494">
        <f t="shared" si="79"/>
        <v>93.87140402273084</v>
      </c>
    </row>
    <row r="457" spans="1:19" s="1" customFormat="1" ht="1.5" customHeight="1" hidden="1">
      <c r="A457" s="109" t="s">
        <v>321</v>
      </c>
      <c r="B457" s="99" t="s">
        <v>202</v>
      </c>
      <c r="C457" s="112" t="s">
        <v>240</v>
      </c>
      <c r="D457" s="112" t="s">
        <v>320</v>
      </c>
      <c r="E457" s="112" t="s">
        <v>322</v>
      </c>
      <c r="F457" s="104" t="s">
        <v>201</v>
      </c>
      <c r="G457" s="88">
        <f aca="true" t="shared" si="86" ref="G457:K459">G458</f>
        <v>0</v>
      </c>
      <c r="H457" s="55">
        <f t="shared" si="86"/>
        <v>0</v>
      </c>
      <c r="I457" s="55">
        <f t="shared" si="86"/>
        <v>0</v>
      </c>
      <c r="J457" s="88">
        <f t="shared" si="86"/>
        <v>0</v>
      </c>
      <c r="K457" s="290">
        <f t="shared" si="86"/>
        <v>0</v>
      </c>
      <c r="L457" s="313"/>
      <c r="M457" s="75"/>
      <c r="N457" s="96"/>
      <c r="O457" s="96"/>
      <c r="P457" s="287"/>
      <c r="Q457" s="480"/>
      <c r="R457" s="480"/>
      <c r="S457" s="470" t="e">
        <f t="shared" si="79"/>
        <v>#DIV/0!</v>
      </c>
    </row>
    <row r="458" spans="1:19" s="1" customFormat="1" ht="23.25" customHeight="1" hidden="1">
      <c r="A458" s="46" t="s">
        <v>208</v>
      </c>
      <c r="B458" s="71" t="s">
        <v>202</v>
      </c>
      <c r="C458" s="76" t="s">
        <v>240</v>
      </c>
      <c r="D458" s="76" t="s">
        <v>320</v>
      </c>
      <c r="E458" s="76" t="s">
        <v>322</v>
      </c>
      <c r="F458" s="78" t="s">
        <v>209</v>
      </c>
      <c r="G458" s="96">
        <f t="shared" si="86"/>
        <v>0</v>
      </c>
      <c r="H458" s="75">
        <f t="shared" si="86"/>
        <v>0</v>
      </c>
      <c r="I458" s="75">
        <f t="shared" si="86"/>
        <v>0</v>
      </c>
      <c r="J458" s="96">
        <f t="shared" si="86"/>
        <v>0</v>
      </c>
      <c r="K458" s="287">
        <f t="shared" si="86"/>
        <v>0</v>
      </c>
      <c r="L458" s="313"/>
      <c r="M458" s="75"/>
      <c r="N458" s="96"/>
      <c r="O458" s="96"/>
      <c r="P458" s="287"/>
      <c r="Q458" s="449"/>
      <c r="R458" s="449"/>
      <c r="S458" s="459" t="e">
        <f t="shared" si="79"/>
        <v>#DIV/0!</v>
      </c>
    </row>
    <row r="459" spans="1:19" s="1" customFormat="1" ht="3" customHeight="1" hidden="1">
      <c r="A459" s="45" t="s">
        <v>210</v>
      </c>
      <c r="B459" s="71" t="s">
        <v>202</v>
      </c>
      <c r="C459" s="76" t="s">
        <v>240</v>
      </c>
      <c r="D459" s="76" t="s">
        <v>320</v>
      </c>
      <c r="E459" s="76" t="s">
        <v>322</v>
      </c>
      <c r="F459" s="78" t="s">
        <v>209</v>
      </c>
      <c r="G459" s="96">
        <f t="shared" si="86"/>
        <v>0</v>
      </c>
      <c r="H459" s="75">
        <f t="shared" si="86"/>
        <v>0</v>
      </c>
      <c r="I459" s="75">
        <f t="shared" si="86"/>
        <v>0</v>
      </c>
      <c r="J459" s="96">
        <f t="shared" si="86"/>
        <v>0</v>
      </c>
      <c r="K459" s="287">
        <f t="shared" si="86"/>
        <v>0</v>
      </c>
      <c r="L459" s="313"/>
      <c r="M459" s="75"/>
      <c r="N459" s="96"/>
      <c r="O459" s="96"/>
      <c r="P459" s="287"/>
      <c r="Q459" s="449"/>
      <c r="R459" s="449"/>
      <c r="S459" s="459" t="e">
        <f t="shared" si="79"/>
        <v>#DIV/0!</v>
      </c>
    </row>
    <row r="460" spans="1:19" s="1" customFormat="1" ht="16.5" hidden="1" thickBot="1">
      <c r="A460" s="39" t="s">
        <v>307</v>
      </c>
      <c r="B460" s="71" t="s">
        <v>202</v>
      </c>
      <c r="C460" s="76" t="s">
        <v>240</v>
      </c>
      <c r="D460" s="76" t="s">
        <v>320</v>
      </c>
      <c r="E460" s="76" t="s">
        <v>322</v>
      </c>
      <c r="F460" s="78" t="s">
        <v>209</v>
      </c>
      <c r="G460" s="96">
        <f>SUM(G461:G462)</f>
        <v>0</v>
      </c>
      <c r="H460" s="75">
        <f>SUM(H461:H462)</f>
        <v>0</v>
      </c>
      <c r="I460" s="75">
        <f>SUM(I461:I462)</f>
        <v>0</v>
      </c>
      <c r="J460" s="96">
        <f>SUM(J461:J462)</f>
        <v>0</v>
      </c>
      <c r="K460" s="287">
        <f>SUM(K461:K462)</f>
        <v>0</v>
      </c>
      <c r="L460" s="313"/>
      <c r="M460" s="75"/>
      <c r="N460" s="96"/>
      <c r="O460" s="96"/>
      <c r="P460" s="287"/>
      <c r="Q460" s="449"/>
      <c r="R460" s="449"/>
      <c r="S460" s="459" t="e">
        <f t="shared" si="79"/>
        <v>#DIV/0!</v>
      </c>
    </row>
    <row r="461" spans="1:19" s="1" customFormat="1" ht="16.5" hidden="1" thickBot="1">
      <c r="A461" s="46" t="s">
        <v>226</v>
      </c>
      <c r="B461" s="71" t="s">
        <v>202</v>
      </c>
      <c r="C461" s="76" t="s">
        <v>240</v>
      </c>
      <c r="D461" s="76" t="s">
        <v>320</v>
      </c>
      <c r="E461" s="76" t="s">
        <v>322</v>
      </c>
      <c r="F461" s="78" t="s">
        <v>209</v>
      </c>
      <c r="G461" s="96"/>
      <c r="H461" s="75"/>
      <c r="I461" s="75"/>
      <c r="J461" s="96"/>
      <c r="K461" s="287"/>
      <c r="L461" s="313"/>
      <c r="M461" s="75"/>
      <c r="N461" s="96"/>
      <c r="O461" s="96"/>
      <c r="P461" s="287"/>
      <c r="Q461" s="449"/>
      <c r="R461" s="449"/>
      <c r="S461" s="459" t="e">
        <f t="shared" si="79"/>
        <v>#DIV/0!</v>
      </c>
    </row>
    <row r="462" spans="1:19" s="1" customFormat="1" ht="16.5" hidden="1" thickBot="1">
      <c r="A462" s="46" t="s">
        <v>226</v>
      </c>
      <c r="B462" s="71" t="s">
        <v>202</v>
      </c>
      <c r="C462" s="76" t="s">
        <v>240</v>
      </c>
      <c r="D462" s="76" t="s">
        <v>320</v>
      </c>
      <c r="E462" s="76" t="s">
        <v>322</v>
      </c>
      <c r="F462" s="78" t="s">
        <v>209</v>
      </c>
      <c r="G462" s="96"/>
      <c r="H462" s="75"/>
      <c r="I462" s="75"/>
      <c r="J462" s="96"/>
      <c r="K462" s="287"/>
      <c r="L462" s="313"/>
      <c r="M462" s="75"/>
      <c r="N462" s="96"/>
      <c r="O462" s="96"/>
      <c r="P462" s="287"/>
      <c r="Q462" s="449"/>
      <c r="R462" s="449"/>
      <c r="S462" s="459" t="e">
        <f t="shared" si="79"/>
        <v>#DIV/0!</v>
      </c>
    </row>
    <row r="463" spans="1:19" s="1" customFormat="1" ht="39" hidden="1" thickBot="1">
      <c r="A463" s="105" t="s">
        <v>323</v>
      </c>
      <c r="B463" s="71" t="s">
        <v>202</v>
      </c>
      <c r="C463" s="76" t="s">
        <v>240</v>
      </c>
      <c r="D463" s="76" t="s">
        <v>320</v>
      </c>
      <c r="E463" s="76" t="s">
        <v>324</v>
      </c>
      <c r="F463" s="78" t="s">
        <v>201</v>
      </c>
      <c r="G463" s="96">
        <f>G465</f>
        <v>0</v>
      </c>
      <c r="H463" s="75">
        <f>H465</f>
        <v>0</v>
      </c>
      <c r="I463" s="75">
        <f>I465</f>
        <v>0</v>
      </c>
      <c r="J463" s="96">
        <f>J465</f>
        <v>0</v>
      </c>
      <c r="K463" s="287">
        <f>K465</f>
        <v>0</v>
      </c>
      <c r="L463" s="313"/>
      <c r="M463" s="75"/>
      <c r="N463" s="96"/>
      <c r="O463" s="96"/>
      <c r="P463" s="287"/>
      <c r="Q463" s="449"/>
      <c r="R463" s="449"/>
      <c r="S463" s="459" t="e">
        <f aca="true" t="shared" si="87" ref="S463:S526">R463/Q463*100</f>
        <v>#DIV/0!</v>
      </c>
    </row>
    <row r="464" spans="1:19" s="1" customFormat="1" ht="16.5" customHeight="1" hidden="1">
      <c r="A464" s="136" t="s">
        <v>325</v>
      </c>
      <c r="B464" s="71" t="s">
        <v>202</v>
      </c>
      <c r="C464" s="76" t="s">
        <v>240</v>
      </c>
      <c r="D464" s="76" t="s">
        <v>320</v>
      </c>
      <c r="E464" s="76" t="s">
        <v>324</v>
      </c>
      <c r="F464" s="78" t="s">
        <v>326</v>
      </c>
      <c r="G464" s="96">
        <f aca="true" t="shared" si="88" ref="G464:K466">G465</f>
        <v>0</v>
      </c>
      <c r="H464" s="75">
        <f t="shared" si="88"/>
        <v>0</v>
      </c>
      <c r="I464" s="75">
        <f t="shared" si="88"/>
        <v>0</v>
      </c>
      <c r="J464" s="96">
        <f t="shared" si="88"/>
        <v>0</v>
      </c>
      <c r="K464" s="287">
        <f t="shared" si="88"/>
        <v>0</v>
      </c>
      <c r="L464" s="313"/>
      <c r="M464" s="75"/>
      <c r="N464" s="96"/>
      <c r="O464" s="96"/>
      <c r="P464" s="287"/>
      <c r="Q464" s="449"/>
      <c r="R464" s="449"/>
      <c r="S464" s="459" t="e">
        <f t="shared" si="87"/>
        <v>#DIV/0!</v>
      </c>
    </row>
    <row r="465" spans="1:19" s="1" customFormat="1" ht="12.75" customHeight="1" hidden="1">
      <c r="A465" s="45" t="s">
        <v>210</v>
      </c>
      <c r="B465" s="71" t="s">
        <v>202</v>
      </c>
      <c r="C465" s="76" t="s">
        <v>240</v>
      </c>
      <c r="D465" s="76" t="s">
        <v>320</v>
      </c>
      <c r="E465" s="76" t="s">
        <v>324</v>
      </c>
      <c r="F465" s="78" t="s">
        <v>326</v>
      </c>
      <c r="G465" s="96">
        <f t="shared" si="88"/>
        <v>0</v>
      </c>
      <c r="H465" s="75">
        <f t="shared" si="88"/>
        <v>0</v>
      </c>
      <c r="I465" s="75">
        <f t="shared" si="88"/>
        <v>0</v>
      </c>
      <c r="J465" s="96">
        <f t="shared" si="88"/>
        <v>0</v>
      </c>
      <c r="K465" s="287">
        <f t="shared" si="88"/>
        <v>0</v>
      </c>
      <c r="L465" s="313"/>
      <c r="M465" s="75"/>
      <c r="N465" s="96"/>
      <c r="O465" s="96"/>
      <c r="P465" s="287"/>
      <c r="Q465" s="449"/>
      <c r="R465" s="449"/>
      <c r="S465" s="459" t="e">
        <f t="shared" si="87"/>
        <v>#DIV/0!</v>
      </c>
    </row>
    <row r="466" spans="1:19" s="1" customFormat="1" ht="13.5" customHeight="1" hidden="1">
      <c r="A466" s="39" t="s">
        <v>307</v>
      </c>
      <c r="B466" s="71" t="s">
        <v>202</v>
      </c>
      <c r="C466" s="76" t="s">
        <v>240</v>
      </c>
      <c r="D466" s="76" t="s">
        <v>320</v>
      </c>
      <c r="E466" s="76" t="s">
        <v>324</v>
      </c>
      <c r="F466" s="78" t="s">
        <v>326</v>
      </c>
      <c r="G466" s="96">
        <f t="shared" si="88"/>
        <v>0</v>
      </c>
      <c r="H466" s="75">
        <f t="shared" si="88"/>
        <v>0</v>
      </c>
      <c r="I466" s="75">
        <f t="shared" si="88"/>
        <v>0</v>
      </c>
      <c r="J466" s="96">
        <f t="shared" si="88"/>
        <v>0</v>
      </c>
      <c r="K466" s="287">
        <f t="shared" si="88"/>
        <v>0</v>
      </c>
      <c r="L466" s="313"/>
      <c r="M466" s="75"/>
      <c r="N466" s="96"/>
      <c r="O466" s="96"/>
      <c r="P466" s="287"/>
      <c r="Q466" s="449"/>
      <c r="R466" s="449"/>
      <c r="S466" s="459" t="e">
        <f t="shared" si="87"/>
        <v>#DIV/0!</v>
      </c>
    </row>
    <row r="467" spans="1:19" s="1" customFormat="1" ht="18.75" customHeight="1" hidden="1">
      <c r="A467" s="46" t="s">
        <v>226</v>
      </c>
      <c r="B467" s="71" t="s">
        <v>202</v>
      </c>
      <c r="C467" s="76" t="s">
        <v>240</v>
      </c>
      <c r="D467" s="76" t="s">
        <v>320</v>
      </c>
      <c r="E467" s="76" t="s">
        <v>324</v>
      </c>
      <c r="F467" s="78" t="s">
        <v>326</v>
      </c>
      <c r="G467" s="96"/>
      <c r="H467" s="75"/>
      <c r="I467" s="75"/>
      <c r="J467" s="96"/>
      <c r="K467" s="287"/>
      <c r="L467" s="313"/>
      <c r="M467" s="75"/>
      <c r="N467" s="96"/>
      <c r="O467" s="96"/>
      <c r="P467" s="287"/>
      <c r="Q467" s="449"/>
      <c r="R467" s="449"/>
      <c r="S467" s="459" t="e">
        <f t="shared" si="87"/>
        <v>#DIV/0!</v>
      </c>
    </row>
    <row r="468" spans="1:19" s="1" customFormat="1" ht="16.5" hidden="1" thickBot="1">
      <c r="A468" s="108" t="s">
        <v>297</v>
      </c>
      <c r="B468" s="90"/>
      <c r="C468" s="129" t="s">
        <v>240</v>
      </c>
      <c r="D468" s="129" t="s">
        <v>320</v>
      </c>
      <c r="E468" s="129" t="s">
        <v>327</v>
      </c>
      <c r="F468" s="131" t="s">
        <v>201</v>
      </c>
      <c r="G468" s="203" t="e">
        <f>G485+G492</f>
        <v>#REF!</v>
      </c>
      <c r="H468" s="121" t="e">
        <f>H485+H492</f>
        <v>#REF!</v>
      </c>
      <c r="I468" s="121" t="e">
        <f>I485+I492</f>
        <v>#REF!</v>
      </c>
      <c r="J468" s="203" t="e">
        <f>J485+J492</f>
        <v>#REF!</v>
      </c>
      <c r="K468" s="268" t="e">
        <f>K485+K492</f>
        <v>#REF!</v>
      </c>
      <c r="L468" s="313"/>
      <c r="M468" s="75"/>
      <c r="N468" s="96"/>
      <c r="O468" s="96"/>
      <c r="P468" s="287"/>
      <c r="Q468" s="449"/>
      <c r="R468" s="449"/>
      <c r="S468" s="459" t="e">
        <f t="shared" si="87"/>
        <v>#DIV/0!</v>
      </c>
    </row>
    <row r="469" spans="1:19" s="1" customFormat="1" ht="30" customHeight="1">
      <c r="A469" s="65" t="s">
        <v>321</v>
      </c>
      <c r="B469" s="66" t="s">
        <v>202</v>
      </c>
      <c r="C469" s="67" t="s">
        <v>240</v>
      </c>
      <c r="D469" s="67" t="s">
        <v>320</v>
      </c>
      <c r="E469" s="67" t="s">
        <v>322</v>
      </c>
      <c r="F469" s="69"/>
      <c r="G469" s="200">
        <f aca="true" t="shared" si="89" ref="G469:N469">G470+G472</f>
        <v>480</v>
      </c>
      <c r="H469" s="200">
        <f t="shared" si="89"/>
        <v>0</v>
      </c>
      <c r="I469" s="200">
        <f t="shared" si="89"/>
        <v>0</v>
      </c>
      <c r="J469" s="200">
        <f t="shared" si="89"/>
        <v>5</v>
      </c>
      <c r="K469" s="286">
        <f t="shared" si="89"/>
        <v>485</v>
      </c>
      <c r="L469" s="286">
        <f t="shared" si="89"/>
        <v>200</v>
      </c>
      <c r="M469" s="286">
        <f t="shared" si="89"/>
        <v>374.341</v>
      </c>
      <c r="N469" s="286">
        <f t="shared" si="89"/>
        <v>1059.3410000000001</v>
      </c>
      <c r="O469" s="286">
        <f>O470+O472</f>
        <v>0</v>
      </c>
      <c r="P469" s="286">
        <f>P470+P472</f>
        <v>0</v>
      </c>
      <c r="Q469" s="449">
        <f>Q470+Q472</f>
        <v>1059.3410000000001</v>
      </c>
      <c r="R469" s="449">
        <f>R470+R472</f>
        <v>979.18765</v>
      </c>
      <c r="S469" s="465">
        <f t="shared" si="87"/>
        <v>92.43365922776518</v>
      </c>
    </row>
    <row r="470" spans="1:19" s="1" customFormat="1" ht="15.75" customHeight="1">
      <c r="A470" s="192" t="s">
        <v>109</v>
      </c>
      <c r="B470" s="161" t="s">
        <v>202</v>
      </c>
      <c r="C470" s="100" t="s">
        <v>240</v>
      </c>
      <c r="D470" s="100" t="s">
        <v>320</v>
      </c>
      <c r="E470" s="100" t="s">
        <v>322</v>
      </c>
      <c r="F470" s="78" t="s">
        <v>106</v>
      </c>
      <c r="G470" s="102">
        <f aca="true" t="shared" si="90" ref="G470:Q470">G471</f>
        <v>480</v>
      </c>
      <c r="H470" s="102">
        <f t="shared" si="90"/>
        <v>0</v>
      </c>
      <c r="I470" s="102">
        <f t="shared" si="90"/>
        <v>0</v>
      </c>
      <c r="J470" s="102">
        <f t="shared" si="90"/>
        <v>-10.092</v>
      </c>
      <c r="K470" s="280">
        <f t="shared" si="90"/>
        <v>469.908</v>
      </c>
      <c r="L470" s="280">
        <f t="shared" si="90"/>
        <v>200</v>
      </c>
      <c r="M470" s="280">
        <f t="shared" si="90"/>
        <v>374.341</v>
      </c>
      <c r="N470" s="280">
        <f t="shared" si="90"/>
        <v>1044.249</v>
      </c>
      <c r="O470" s="280">
        <f t="shared" si="90"/>
        <v>0</v>
      </c>
      <c r="P470" s="280">
        <f t="shared" si="90"/>
        <v>0</v>
      </c>
      <c r="Q470" s="448">
        <f t="shared" si="90"/>
        <v>1044.249</v>
      </c>
      <c r="R470" s="448">
        <v>968.80565</v>
      </c>
      <c r="S470" s="444">
        <f t="shared" si="87"/>
        <v>92.77534859980713</v>
      </c>
    </row>
    <row r="471" spans="1:19" s="1" customFormat="1" ht="13.5" customHeight="1" hidden="1">
      <c r="A471" s="45"/>
      <c r="B471" s="71"/>
      <c r="C471" s="76"/>
      <c r="D471" s="76"/>
      <c r="E471" s="76"/>
      <c r="F471" s="101" t="s">
        <v>236</v>
      </c>
      <c r="G471" s="89">
        <v>480</v>
      </c>
      <c r="H471" s="82"/>
      <c r="I471" s="82"/>
      <c r="J471" s="89">
        <v>-10.092</v>
      </c>
      <c r="K471" s="275">
        <v>469.908</v>
      </c>
      <c r="L471" s="315">
        <v>200</v>
      </c>
      <c r="M471" s="82">
        <f>109.4+264.941</f>
        <v>374.341</v>
      </c>
      <c r="N471" s="89">
        <f>K471+L471+M471</f>
        <v>1044.249</v>
      </c>
      <c r="O471" s="89"/>
      <c r="P471" s="275"/>
      <c r="Q471" s="448">
        <f>N471+O471+P471</f>
        <v>1044.249</v>
      </c>
      <c r="R471" s="448">
        <f>O471+P471+Q471</f>
        <v>1044.249</v>
      </c>
      <c r="S471" s="444">
        <f t="shared" si="87"/>
        <v>100</v>
      </c>
    </row>
    <row r="472" spans="1:19" s="1" customFormat="1" ht="15.75" customHeight="1">
      <c r="A472" s="181" t="s">
        <v>110</v>
      </c>
      <c r="B472" s="71" t="s">
        <v>202</v>
      </c>
      <c r="C472" s="76" t="s">
        <v>240</v>
      </c>
      <c r="D472" s="76" t="s">
        <v>320</v>
      </c>
      <c r="E472" s="76" t="s">
        <v>322</v>
      </c>
      <c r="F472" s="78" t="s">
        <v>107</v>
      </c>
      <c r="G472" s="89">
        <f aca="true" t="shared" si="91" ref="G472:Q472">G473</f>
        <v>0</v>
      </c>
      <c r="H472" s="89">
        <f t="shared" si="91"/>
        <v>0</v>
      </c>
      <c r="I472" s="89">
        <f t="shared" si="91"/>
        <v>0</v>
      </c>
      <c r="J472" s="89">
        <f t="shared" si="91"/>
        <v>15.092</v>
      </c>
      <c r="K472" s="275">
        <f t="shared" si="91"/>
        <v>15.092</v>
      </c>
      <c r="L472" s="275">
        <f t="shared" si="91"/>
        <v>0</v>
      </c>
      <c r="M472" s="275">
        <f t="shared" si="91"/>
        <v>0</v>
      </c>
      <c r="N472" s="275">
        <f t="shared" si="91"/>
        <v>15.092</v>
      </c>
      <c r="O472" s="275">
        <f t="shared" si="91"/>
        <v>0</v>
      </c>
      <c r="P472" s="275">
        <f t="shared" si="91"/>
        <v>0</v>
      </c>
      <c r="Q472" s="448">
        <f t="shared" si="91"/>
        <v>15.092</v>
      </c>
      <c r="R472" s="448">
        <v>10.382</v>
      </c>
      <c r="S472" s="444">
        <f t="shared" si="87"/>
        <v>68.79141266896369</v>
      </c>
    </row>
    <row r="473" spans="1:19" s="1" customFormat="1" ht="14.25" customHeight="1" hidden="1">
      <c r="A473" s="46"/>
      <c r="B473" s="71"/>
      <c r="C473" s="76"/>
      <c r="D473" s="76"/>
      <c r="E473" s="76"/>
      <c r="F473" s="78" t="s">
        <v>237</v>
      </c>
      <c r="G473" s="89"/>
      <c r="H473" s="82"/>
      <c r="I473" s="82"/>
      <c r="J473" s="89">
        <v>15.092</v>
      </c>
      <c r="K473" s="275">
        <v>15.092</v>
      </c>
      <c r="L473" s="315"/>
      <c r="M473" s="82"/>
      <c r="N473" s="89">
        <f>K473+L473+M473</f>
        <v>15.092</v>
      </c>
      <c r="O473" s="89"/>
      <c r="P473" s="275"/>
      <c r="Q473" s="448">
        <f>N473+O473+P473</f>
        <v>15.092</v>
      </c>
      <c r="R473" s="448">
        <f>O473+P473+Q473</f>
        <v>15.092</v>
      </c>
      <c r="S473" s="465">
        <f t="shared" si="87"/>
        <v>100</v>
      </c>
    </row>
    <row r="474" spans="1:19" s="1" customFormat="1" ht="15" customHeight="1" hidden="1">
      <c r="A474" s="138" t="s">
        <v>328</v>
      </c>
      <c r="B474" s="66" t="s">
        <v>202</v>
      </c>
      <c r="C474" s="67" t="s">
        <v>240</v>
      </c>
      <c r="D474" s="67" t="s">
        <v>320</v>
      </c>
      <c r="E474" s="67" t="s">
        <v>329</v>
      </c>
      <c r="F474" s="69" t="s">
        <v>201</v>
      </c>
      <c r="G474" s="232">
        <f>G475+G477</f>
        <v>0</v>
      </c>
      <c r="H474" s="233">
        <f>H475+H477</f>
        <v>0</v>
      </c>
      <c r="I474" s="233">
        <f>I475+I477</f>
        <v>0</v>
      </c>
      <c r="J474" s="232">
        <f>J475+J477</f>
        <v>0</v>
      </c>
      <c r="K474" s="296">
        <f>K475+K477</f>
        <v>0</v>
      </c>
      <c r="L474" s="318"/>
      <c r="M474" s="235"/>
      <c r="N474" s="234"/>
      <c r="O474" s="234"/>
      <c r="P474" s="298"/>
      <c r="Q474" s="449"/>
      <c r="R474" s="449"/>
      <c r="S474" s="465" t="e">
        <f t="shared" si="87"/>
        <v>#DIV/0!</v>
      </c>
    </row>
    <row r="475" spans="1:19" s="1" customFormat="1" ht="25.5" customHeight="1" hidden="1">
      <c r="A475" s="139" t="s">
        <v>330</v>
      </c>
      <c r="B475" s="99" t="s">
        <v>202</v>
      </c>
      <c r="C475" s="112" t="s">
        <v>240</v>
      </c>
      <c r="D475" s="112" t="s">
        <v>320</v>
      </c>
      <c r="E475" s="112" t="s">
        <v>331</v>
      </c>
      <c r="F475" s="104" t="s">
        <v>201</v>
      </c>
      <c r="G475" s="232">
        <f>G476</f>
        <v>0</v>
      </c>
      <c r="H475" s="233">
        <f>H476</f>
        <v>0</v>
      </c>
      <c r="I475" s="233">
        <f>I476</f>
        <v>0</v>
      </c>
      <c r="J475" s="232">
        <f>J476</f>
        <v>0</v>
      </c>
      <c r="K475" s="296">
        <f>K476</f>
        <v>0</v>
      </c>
      <c r="L475" s="318"/>
      <c r="M475" s="235"/>
      <c r="N475" s="234"/>
      <c r="O475" s="234"/>
      <c r="P475" s="298"/>
      <c r="Q475" s="449"/>
      <c r="R475" s="449"/>
      <c r="S475" s="465" t="e">
        <f t="shared" si="87"/>
        <v>#DIV/0!</v>
      </c>
    </row>
    <row r="476" spans="1:19" s="1" customFormat="1" ht="14.25" customHeight="1" hidden="1">
      <c r="A476" s="140" t="s">
        <v>325</v>
      </c>
      <c r="B476" s="99" t="s">
        <v>202</v>
      </c>
      <c r="C476" s="112" t="s">
        <v>240</v>
      </c>
      <c r="D476" s="112" t="s">
        <v>320</v>
      </c>
      <c r="E476" s="112" t="s">
        <v>331</v>
      </c>
      <c r="F476" s="104" t="s">
        <v>326</v>
      </c>
      <c r="G476" s="237"/>
      <c r="H476" s="238"/>
      <c r="I476" s="238"/>
      <c r="J476" s="237"/>
      <c r="K476" s="297"/>
      <c r="L476" s="319"/>
      <c r="M476" s="152"/>
      <c r="N476" s="209"/>
      <c r="O476" s="209"/>
      <c r="P476" s="299"/>
      <c r="Q476" s="448"/>
      <c r="R476" s="448"/>
      <c r="S476" s="465" t="e">
        <f t="shared" si="87"/>
        <v>#DIV/0!</v>
      </c>
    </row>
    <row r="477" spans="1:19" s="1" customFormat="1" ht="38.25" hidden="1">
      <c r="A477" s="103" t="s">
        <v>332</v>
      </c>
      <c r="B477" s="99" t="s">
        <v>202</v>
      </c>
      <c r="C477" s="112" t="s">
        <v>240</v>
      </c>
      <c r="D477" s="112" t="s">
        <v>320</v>
      </c>
      <c r="E477" s="112" t="s">
        <v>333</v>
      </c>
      <c r="F477" s="104" t="s">
        <v>201</v>
      </c>
      <c r="G477" s="234">
        <f>G478</f>
        <v>0</v>
      </c>
      <c r="H477" s="235">
        <f>H478</f>
        <v>0</v>
      </c>
      <c r="I477" s="235">
        <f>I478</f>
        <v>0</v>
      </c>
      <c r="J477" s="234">
        <f>J478</f>
        <v>0</v>
      </c>
      <c r="K477" s="298">
        <f>K478</f>
        <v>0</v>
      </c>
      <c r="L477" s="318"/>
      <c r="M477" s="235"/>
      <c r="N477" s="234"/>
      <c r="O477" s="234"/>
      <c r="P477" s="298"/>
      <c r="Q477" s="449"/>
      <c r="R477" s="449"/>
      <c r="S477" s="465" t="e">
        <f t="shared" si="87"/>
        <v>#DIV/0!</v>
      </c>
    </row>
    <row r="478" spans="1:19" s="1" customFormat="1" ht="12.75" hidden="1">
      <c r="A478" s="140" t="s">
        <v>325</v>
      </c>
      <c r="B478" s="71" t="s">
        <v>202</v>
      </c>
      <c r="C478" s="76" t="s">
        <v>240</v>
      </c>
      <c r="D478" s="76" t="s">
        <v>320</v>
      </c>
      <c r="E478" s="76" t="s">
        <v>333</v>
      </c>
      <c r="F478" s="78" t="s">
        <v>326</v>
      </c>
      <c r="G478" s="209">
        <f>G484</f>
        <v>0</v>
      </c>
      <c r="H478" s="152">
        <f>H484</f>
        <v>0</v>
      </c>
      <c r="I478" s="152">
        <f>I484</f>
        <v>0</v>
      </c>
      <c r="J478" s="209">
        <f>J484</f>
        <v>0</v>
      </c>
      <c r="K478" s="299">
        <f>K484</f>
        <v>0</v>
      </c>
      <c r="L478" s="319"/>
      <c r="M478" s="152"/>
      <c r="N478" s="209"/>
      <c r="O478" s="209"/>
      <c r="P478" s="299"/>
      <c r="Q478" s="448"/>
      <c r="R478" s="448"/>
      <c r="S478" s="465" t="e">
        <f t="shared" si="87"/>
        <v>#DIV/0!</v>
      </c>
    </row>
    <row r="479" spans="1:19" s="1" customFormat="1" ht="13.5" hidden="1" thickBot="1">
      <c r="A479" s="47" t="s">
        <v>210</v>
      </c>
      <c r="B479" s="99" t="s">
        <v>202</v>
      </c>
      <c r="C479" s="100" t="s">
        <v>240</v>
      </c>
      <c r="D479" s="100" t="s">
        <v>320</v>
      </c>
      <c r="E479" s="84" t="s">
        <v>334</v>
      </c>
      <c r="F479" s="101" t="s">
        <v>326</v>
      </c>
      <c r="G479" s="234"/>
      <c r="H479" s="235"/>
      <c r="I479" s="235"/>
      <c r="J479" s="234"/>
      <c r="K479" s="298"/>
      <c r="L479" s="318"/>
      <c r="M479" s="235"/>
      <c r="N479" s="234"/>
      <c r="O479" s="234"/>
      <c r="P479" s="298"/>
      <c r="Q479" s="449"/>
      <c r="R479" s="449"/>
      <c r="S479" s="465" t="e">
        <f t="shared" si="87"/>
        <v>#DIV/0!</v>
      </c>
    </row>
    <row r="480" spans="1:19" s="1" customFormat="1" ht="13.5" hidden="1" thickBot="1">
      <c r="A480" s="39" t="s">
        <v>307</v>
      </c>
      <c r="B480" s="71" t="s">
        <v>202</v>
      </c>
      <c r="C480" s="76" t="s">
        <v>240</v>
      </c>
      <c r="D480" s="76" t="s">
        <v>320</v>
      </c>
      <c r="E480" s="118" t="s">
        <v>334</v>
      </c>
      <c r="F480" s="78" t="s">
        <v>326</v>
      </c>
      <c r="G480" s="234"/>
      <c r="H480" s="235"/>
      <c r="I480" s="235"/>
      <c r="J480" s="234"/>
      <c r="K480" s="298"/>
      <c r="L480" s="318"/>
      <c r="M480" s="235"/>
      <c r="N480" s="234"/>
      <c r="O480" s="234"/>
      <c r="P480" s="298"/>
      <c r="Q480" s="449"/>
      <c r="R480" s="449"/>
      <c r="S480" s="465" t="e">
        <f t="shared" si="87"/>
        <v>#DIV/0!</v>
      </c>
    </row>
    <row r="481" spans="1:19" s="1" customFormat="1" ht="13.5" hidden="1" thickBot="1">
      <c r="A481" s="120" t="s">
        <v>226</v>
      </c>
      <c r="B481" s="117" t="s">
        <v>202</v>
      </c>
      <c r="C481" s="118" t="s">
        <v>240</v>
      </c>
      <c r="D481" s="118" t="s">
        <v>320</v>
      </c>
      <c r="E481" s="118" t="s">
        <v>334</v>
      </c>
      <c r="F481" s="119" t="s">
        <v>326</v>
      </c>
      <c r="G481" s="234"/>
      <c r="H481" s="235"/>
      <c r="I481" s="235"/>
      <c r="J481" s="234"/>
      <c r="K481" s="298"/>
      <c r="L481" s="318"/>
      <c r="M481" s="235"/>
      <c r="N481" s="234"/>
      <c r="O481" s="234"/>
      <c r="P481" s="298"/>
      <c r="Q481" s="449"/>
      <c r="R481" s="449"/>
      <c r="S481" s="465" t="e">
        <f t="shared" si="87"/>
        <v>#DIV/0!</v>
      </c>
    </row>
    <row r="482" spans="1:19" s="1" customFormat="1" ht="12.75" hidden="1">
      <c r="A482" s="46"/>
      <c r="B482" s="71"/>
      <c r="C482" s="72"/>
      <c r="D482" s="72"/>
      <c r="E482" s="72"/>
      <c r="F482" s="74"/>
      <c r="G482" s="234"/>
      <c r="H482" s="235"/>
      <c r="I482" s="235"/>
      <c r="J482" s="234"/>
      <c r="K482" s="298"/>
      <c r="L482" s="318"/>
      <c r="M482" s="235"/>
      <c r="N482" s="234"/>
      <c r="O482" s="234"/>
      <c r="P482" s="298"/>
      <c r="Q482" s="449"/>
      <c r="R482" s="449"/>
      <c r="S482" s="465" t="e">
        <f t="shared" si="87"/>
        <v>#DIV/0!</v>
      </c>
    </row>
    <row r="483" spans="1:19" s="1" customFormat="1" ht="12.75" hidden="1">
      <c r="A483" s="108"/>
      <c r="B483" s="90"/>
      <c r="C483" s="129"/>
      <c r="D483" s="129"/>
      <c r="E483" s="129"/>
      <c r="F483" s="131"/>
      <c r="G483" s="234"/>
      <c r="H483" s="235"/>
      <c r="I483" s="235"/>
      <c r="J483" s="234"/>
      <c r="K483" s="298"/>
      <c r="L483" s="318"/>
      <c r="M483" s="235"/>
      <c r="N483" s="234"/>
      <c r="O483" s="234"/>
      <c r="P483" s="298"/>
      <c r="Q483" s="449"/>
      <c r="R483" s="449"/>
      <c r="S483" s="465" t="e">
        <f t="shared" si="87"/>
        <v>#DIV/0!</v>
      </c>
    </row>
    <row r="484" spans="1:19" s="1" customFormat="1" ht="13.5" hidden="1" thickBot="1">
      <c r="A484" s="62"/>
      <c r="B484" s="53"/>
      <c r="C484" s="54"/>
      <c r="D484" s="54"/>
      <c r="E484" s="54"/>
      <c r="F484" s="86" t="s">
        <v>236</v>
      </c>
      <c r="G484" s="230"/>
      <c r="H484" s="231"/>
      <c r="I484" s="231"/>
      <c r="J484" s="230"/>
      <c r="K484" s="300"/>
      <c r="L484" s="319"/>
      <c r="M484" s="152"/>
      <c r="N484" s="209"/>
      <c r="O484" s="209"/>
      <c r="P484" s="299"/>
      <c r="Q484" s="448"/>
      <c r="R484" s="448"/>
      <c r="S484" s="465" t="e">
        <f t="shared" si="87"/>
        <v>#DIV/0!</v>
      </c>
    </row>
    <row r="485" spans="1:19" s="1" customFormat="1" ht="3" customHeight="1" hidden="1" thickBot="1">
      <c r="A485" s="103" t="s">
        <v>335</v>
      </c>
      <c r="B485" s="99" t="s">
        <v>254</v>
      </c>
      <c r="C485" s="112" t="s">
        <v>240</v>
      </c>
      <c r="D485" s="112" t="s">
        <v>320</v>
      </c>
      <c r="E485" s="112" t="s">
        <v>327</v>
      </c>
      <c r="F485" s="104" t="s">
        <v>201</v>
      </c>
      <c r="G485" s="232" t="e">
        <f>#REF!</f>
        <v>#REF!</v>
      </c>
      <c r="H485" s="233" t="e">
        <f>#REF!</f>
        <v>#REF!</v>
      </c>
      <c r="I485" s="233" t="e">
        <f>#REF!</f>
        <v>#REF!</v>
      </c>
      <c r="J485" s="232" t="e">
        <f>#REF!</f>
        <v>#REF!</v>
      </c>
      <c r="K485" s="296" t="e">
        <f>#REF!</f>
        <v>#REF!</v>
      </c>
      <c r="L485" s="318"/>
      <c r="M485" s="235"/>
      <c r="N485" s="234"/>
      <c r="O485" s="234"/>
      <c r="P485" s="298"/>
      <c r="Q485" s="449"/>
      <c r="R485" s="449"/>
      <c r="S485" s="465" t="e">
        <f t="shared" si="87"/>
        <v>#DIV/0!</v>
      </c>
    </row>
    <row r="486" spans="1:19" s="1" customFormat="1" ht="16.5" customHeight="1">
      <c r="A486" s="147" t="s">
        <v>534</v>
      </c>
      <c r="B486" s="30" t="s">
        <v>202</v>
      </c>
      <c r="C486" s="31" t="s">
        <v>240</v>
      </c>
      <c r="D486" s="31" t="s">
        <v>320</v>
      </c>
      <c r="E486" s="31" t="s">
        <v>535</v>
      </c>
      <c r="F486" s="32"/>
      <c r="G486" s="372">
        <v>343.8</v>
      </c>
      <c r="H486" s="373"/>
      <c r="I486" s="373"/>
      <c r="J486" s="372"/>
      <c r="K486" s="374"/>
      <c r="L486" s="374"/>
      <c r="M486" s="374"/>
      <c r="N486" s="281">
        <f aca="true" t="shared" si="92" ref="N486:R487">N487</f>
        <v>0</v>
      </c>
      <c r="O486" s="281">
        <f t="shared" si="92"/>
        <v>0</v>
      </c>
      <c r="P486" s="281">
        <f t="shared" si="92"/>
        <v>1015.84</v>
      </c>
      <c r="Q486" s="449">
        <f t="shared" si="92"/>
        <v>1015.84</v>
      </c>
      <c r="R486" s="449">
        <f t="shared" si="92"/>
        <v>1015.84</v>
      </c>
      <c r="S486" s="465">
        <f t="shared" si="87"/>
        <v>100</v>
      </c>
    </row>
    <row r="487" spans="1:19" s="1" customFormat="1" ht="38.25">
      <c r="A487" s="105" t="s">
        <v>536</v>
      </c>
      <c r="B487" s="71" t="s">
        <v>202</v>
      </c>
      <c r="C487" s="72" t="s">
        <v>240</v>
      </c>
      <c r="D487" s="72" t="s">
        <v>320</v>
      </c>
      <c r="E487" s="72" t="s">
        <v>537</v>
      </c>
      <c r="F487" s="74"/>
      <c r="G487" s="234">
        <v>343.8</v>
      </c>
      <c r="H487" s="235"/>
      <c r="I487" s="235"/>
      <c r="J487" s="234"/>
      <c r="K487" s="298"/>
      <c r="L487" s="298"/>
      <c r="M487" s="298"/>
      <c r="N487" s="287">
        <f t="shared" si="92"/>
        <v>0</v>
      </c>
      <c r="O487" s="287">
        <f t="shared" si="92"/>
        <v>0</v>
      </c>
      <c r="P487" s="287">
        <f t="shared" si="92"/>
        <v>1015.84</v>
      </c>
      <c r="Q487" s="449">
        <f t="shared" si="92"/>
        <v>1015.84</v>
      </c>
      <c r="R487" s="449">
        <f t="shared" si="92"/>
        <v>1015.84</v>
      </c>
      <c r="S487" s="465">
        <f t="shared" si="87"/>
        <v>100</v>
      </c>
    </row>
    <row r="488" spans="1:19" s="1" customFormat="1" ht="15.75" customHeight="1">
      <c r="A488" s="441" t="s">
        <v>402</v>
      </c>
      <c r="B488" s="141" t="s">
        <v>202</v>
      </c>
      <c r="C488" s="76" t="s">
        <v>240</v>
      </c>
      <c r="D488" s="76" t="s">
        <v>320</v>
      </c>
      <c r="E488" s="76" t="s">
        <v>537</v>
      </c>
      <c r="F488" s="78" t="s">
        <v>562</v>
      </c>
      <c r="G488" s="209">
        <v>343.8</v>
      </c>
      <c r="H488" s="152"/>
      <c r="I488" s="152"/>
      <c r="J488" s="209"/>
      <c r="K488" s="299"/>
      <c r="L488" s="299"/>
      <c r="M488" s="299"/>
      <c r="N488" s="275"/>
      <c r="O488" s="275"/>
      <c r="P488" s="275">
        <v>1015.84</v>
      </c>
      <c r="Q488" s="448">
        <f>N488+O488+P488</f>
        <v>1015.84</v>
      </c>
      <c r="R488" s="448">
        <v>1015.84</v>
      </c>
      <c r="S488" s="444">
        <f t="shared" si="87"/>
        <v>100</v>
      </c>
    </row>
    <row r="489" spans="1:19" s="1" customFormat="1" ht="16.5" customHeight="1">
      <c r="A489" s="147" t="s">
        <v>328</v>
      </c>
      <c r="B489" s="30" t="s">
        <v>202</v>
      </c>
      <c r="C489" s="31" t="s">
        <v>240</v>
      </c>
      <c r="D489" s="31" t="s">
        <v>320</v>
      </c>
      <c r="E489" s="31" t="s">
        <v>329</v>
      </c>
      <c r="F489" s="32"/>
      <c r="G489" s="372">
        <v>6445.922</v>
      </c>
      <c r="H489" s="373"/>
      <c r="I489" s="373"/>
      <c r="J489" s="372"/>
      <c r="K489" s="374"/>
      <c r="L489" s="374"/>
      <c r="M489" s="374"/>
      <c r="N489" s="281">
        <f aca="true" t="shared" si="93" ref="N489:R490">N490</f>
        <v>0</v>
      </c>
      <c r="O489" s="281">
        <f t="shared" si="93"/>
        <v>0</v>
      </c>
      <c r="P489" s="281">
        <f t="shared" si="93"/>
        <v>253.96</v>
      </c>
      <c r="Q489" s="449">
        <f t="shared" si="93"/>
        <v>253.96</v>
      </c>
      <c r="R489" s="449">
        <f t="shared" si="93"/>
        <v>253.96</v>
      </c>
      <c r="S489" s="465">
        <f t="shared" si="87"/>
        <v>100</v>
      </c>
    </row>
    <row r="490" spans="1:19" s="1" customFormat="1" ht="38.25">
      <c r="A490" s="105" t="s">
        <v>538</v>
      </c>
      <c r="B490" s="71" t="s">
        <v>202</v>
      </c>
      <c r="C490" s="72" t="s">
        <v>240</v>
      </c>
      <c r="D490" s="72" t="s">
        <v>320</v>
      </c>
      <c r="E490" s="72" t="s">
        <v>331</v>
      </c>
      <c r="F490" s="74"/>
      <c r="G490" s="234">
        <v>86</v>
      </c>
      <c r="H490" s="235"/>
      <c r="I490" s="235"/>
      <c r="J490" s="234"/>
      <c r="K490" s="298"/>
      <c r="L490" s="298"/>
      <c r="M490" s="298"/>
      <c r="N490" s="287">
        <f t="shared" si="93"/>
        <v>0</v>
      </c>
      <c r="O490" s="287">
        <f t="shared" si="93"/>
        <v>0</v>
      </c>
      <c r="P490" s="287">
        <f t="shared" si="93"/>
        <v>253.96</v>
      </c>
      <c r="Q490" s="449">
        <f t="shared" si="93"/>
        <v>253.96</v>
      </c>
      <c r="R490" s="449">
        <f t="shared" si="93"/>
        <v>253.96</v>
      </c>
      <c r="S490" s="465">
        <f t="shared" si="87"/>
        <v>100</v>
      </c>
    </row>
    <row r="491" spans="1:19" s="1" customFormat="1" ht="15.75" customHeight="1" thickBot="1">
      <c r="A491" s="441" t="s">
        <v>402</v>
      </c>
      <c r="B491" s="220" t="s">
        <v>202</v>
      </c>
      <c r="C491" s="79" t="s">
        <v>240</v>
      </c>
      <c r="D491" s="79" t="s">
        <v>320</v>
      </c>
      <c r="E491" s="79" t="s">
        <v>331</v>
      </c>
      <c r="F491" s="81" t="s">
        <v>562</v>
      </c>
      <c r="G491" s="375">
        <v>86</v>
      </c>
      <c r="H491" s="376"/>
      <c r="I491" s="376"/>
      <c r="J491" s="375"/>
      <c r="K491" s="377"/>
      <c r="L491" s="377"/>
      <c r="M491" s="377"/>
      <c r="N491" s="174"/>
      <c r="O491" s="174"/>
      <c r="P491" s="174">
        <v>253.96</v>
      </c>
      <c r="Q491" s="460">
        <f>N491+O491+P491</f>
        <v>253.96</v>
      </c>
      <c r="R491" s="460">
        <v>253.96</v>
      </c>
      <c r="S491" s="491">
        <f t="shared" si="87"/>
        <v>100</v>
      </c>
    </row>
    <row r="492" spans="1:19" ht="16.5" customHeight="1" thickBot="1">
      <c r="A492" s="23" t="s">
        <v>291</v>
      </c>
      <c r="B492" s="24" t="s">
        <v>202</v>
      </c>
      <c r="C492" s="25" t="s">
        <v>240</v>
      </c>
      <c r="D492" s="25" t="s">
        <v>320</v>
      </c>
      <c r="E492" s="25" t="s">
        <v>292</v>
      </c>
      <c r="F492" s="27"/>
      <c r="G492" s="201">
        <f>G493</f>
        <v>488</v>
      </c>
      <c r="H492" s="28">
        <f>H493</f>
        <v>210</v>
      </c>
      <c r="I492" s="28">
        <f>I493</f>
        <v>230</v>
      </c>
      <c r="J492" s="201">
        <f>J493</f>
        <v>0</v>
      </c>
      <c r="K492" s="289">
        <f aca="true" t="shared" si="94" ref="K492:Q492">K498+K504+K507</f>
        <v>488</v>
      </c>
      <c r="L492" s="289">
        <f t="shared" si="94"/>
        <v>0</v>
      </c>
      <c r="M492" s="289">
        <f t="shared" si="94"/>
        <v>0</v>
      </c>
      <c r="N492" s="289">
        <f t="shared" si="94"/>
        <v>488</v>
      </c>
      <c r="O492" s="289">
        <f t="shared" si="94"/>
        <v>0</v>
      </c>
      <c r="P492" s="289">
        <f t="shared" si="94"/>
        <v>0</v>
      </c>
      <c r="Q492" s="482">
        <f t="shared" si="94"/>
        <v>488</v>
      </c>
      <c r="R492" s="483">
        <f>R498+R504+R507</f>
        <v>395.50216</v>
      </c>
      <c r="S492" s="494">
        <f t="shared" si="87"/>
        <v>81.04552459016394</v>
      </c>
    </row>
    <row r="493" spans="1:19" ht="15.75" hidden="1">
      <c r="A493" s="109" t="s">
        <v>208</v>
      </c>
      <c r="B493" s="99" t="s">
        <v>202</v>
      </c>
      <c r="C493" s="112" t="s">
        <v>240</v>
      </c>
      <c r="D493" s="112" t="s">
        <v>320</v>
      </c>
      <c r="E493" s="112" t="s">
        <v>292</v>
      </c>
      <c r="F493" s="104" t="s">
        <v>209</v>
      </c>
      <c r="G493" s="88">
        <f>G498+G507+G504</f>
        <v>488</v>
      </c>
      <c r="H493" s="55">
        <f>H498+H507+H504</f>
        <v>210</v>
      </c>
      <c r="I493" s="55">
        <f>I498+I507+I504</f>
        <v>230</v>
      </c>
      <c r="J493" s="88">
        <f>J498+J507+J504</f>
        <v>0</v>
      </c>
      <c r="K493" s="290">
        <f>K498+K507+K504</f>
        <v>488</v>
      </c>
      <c r="L493" s="313"/>
      <c r="M493" s="75"/>
      <c r="N493" s="96"/>
      <c r="O493" s="96"/>
      <c r="P493" s="287"/>
      <c r="Q493" s="480"/>
      <c r="R493" s="480"/>
      <c r="S493" s="470" t="e">
        <f t="shared" si="87"/>
        <v>#DIV/0!</v>
      </c>
    </row>
    <row r="494" spans="1:19" ht="15.75" customHeight="1" hidden="1">
      <c r="A494" s="45" t="s">
        <v>210</v>
      </c>
      <c r="B494" s="71" t="s">
        <v>202</v>
      </c>
      <c r="C494" s="76" t="s">
        <v>240</v>
      </c>
      <c r="D494" s="76" t="s">
        <v>320</v>
      </c>
      <c r="E494" s="76" t="s">
        <v>292</v>
      </c>
      <c r="F494" s="78" t="s">
        <v>209</v>
      </c>
      <c r="G494" s="96">
        <f>G495+G509</f>
        <v>1697</v>
      </c>
      <c r="H494" s="75">
        <f>H495+H509</f>
        <v>630</v>
      </c>
      <c r="I494" s="75">
        <f>I495+I509</f>
        <v>690</v>
      </c>
      <c r="J494" s="96">
        <f>J495+J509</f>
        <v>273</v>
      </c>
      <c r="K494" s="287">
        <f>K495+K509</f>
        <v>1697</v>
      </c>
      <c r="L494" s="313"/>
      <c r="M494" s="75"/>
      <c r="N494" s="96"/>
      <c r="O494" s="96"/>
      <c r="P494" s="287"/>
      <c r="Q494" s="449"/>
      <c r="R494" s="449"/>
      <c r="S494" s="459" t="e">
        <f t="shared" si="87"/>
        <v>#DIV/0!</v>
      </c>
    </row>
    <row r="495" spans="1:19" ht="15" customHeight="1" hidden="1">
      <c r="A495" s="39" t="s">
        <v>307</v>
      </c>
      <c r="B495" s="71" t="s">
        <v>202</v>
      </c>
      <c r="C495" s="76" t="s">
        <v>240</v>
      </c>
      <c r="D495" s="76" t="s">
        <v>320</v>
      </c>
      <c r="E495" s="76" t="s">
        <v>292</v>
      </c>
      <c r="F495" s="78" t="s">
        <v>209</v>
      </c>
      <c r="G495" s="96">
        <f>SUM(G497:G508)</f>
        <v>1697</v>
      </c>
      <c r="H495" s="75">
        <f>SUM(H497:H508)</f>
        <v>630</v>
      </c>
      <c r="I495" s="75">
        <f>SUM(I497:I508)</f>
        <v>690</v>
      </c>
      <c r="J495" s="96">
        <f>SUM(J497:J508)</f>
        <v>273</v>
      </c>
      <c r="K495" s="287">
        <f>SUM(K497:K508)</f>
        <v>1697</v>
      </c>
      <c r="L495" s="313"/>
      <c r="M495" s="75"/>
      <c r="N495" s="96"/>
      <c r="O495" s="96"/>
      <c r="P495" s="287"/>
      <c r="Q495" s="449"/>
      <c r="R495" s="449"/>
      <c r="S495" s="459" t="e">
        <f t="shared" si="87"/>
        <v>#DIV/0!</v>
      </c>
    </row>
    <row r="496" spans="1:19" ht="15" customHeight="1" hidden="1">
      <c r="A496" s="46" t="s">
        <v>339</v>
      </c>
      <c r="B496" s="71" t="s">
        <v>340</v>
      </c>
      <c r="C496" s="76" t="s">
        <v>240</v>
      </c>
      <c r="D496" s="76" t="s">
        <v>320</v>
      </c>
      <c r="E496" s="76" t="s">
        <v>292</v>
      </c>
      <c r="F496" s="78" t="s">
        <v>209</v>
      </c>
      <c r="G496" s="96">
        <v>0</v>
      </c>
      <c r="H496" s="75">
        <v>0</v>
      </c>
      <c r="I496" s="75">
        <v>0</v>
      </c>
      <c r="J496" s="96">
        <v>0</v>
      </c>
      <c r="K496" s="287">
        <v>0</v>
      </c>
      <c r="L496" s="313"/>
      <c r="M496" s="75"/>
      <c r="N496" s="96"/>
      <c r="O496" s="96"/>
      <c r="P496" s="287"/>
      <c r="Q496" s="449"/>
      <c r="R496" s="449"/>
      <c r="S496" s="459" t="e">
        <f t="shared" si="87"/>
        <v>#DIV/0!</v>
      </c>
    </row>
    <row r="497" spans="1:19" ht="15" customHeight="1" hidden="1">
      <c r="A497" s="46" t="s">
        <v>339</v>
      </c>
      <c r="B497" s="71" t="s">
        <v>202</v>
      </c>
      <c r="C497" s="76" t="s">
        <v>240</v>
      </c>
      <c r="D497" s="76" t="s">
        <v>320</v>
      </c>
      <c r="E497" s="76" t="s">
        <v>341</v>
      </c>
      <c r="F497" s="78" t="s">
        <v>209</v>
      </c>
      <c r="G497" s="96"/>
      <c r="H497" s="75"/>
      <c r="I497" s="75"/>
      <c r="J497" s="96"/>
      <c r="K497" s="287"/>
      <c r="L497" s="313"/>
      <c r="M497" s="75"/>
      <c r="N497" s="96"/>
      <c r="O497" s="96"/>
      <c r="P497" s="287"/>
      <c r="Q497" s="449"/>
      <c r="R497" s="449"/>
      <c r="S497" s="459" t="e">
        <f t="shared" si="87"/>
        <v>#DIV/0!</v>
      </c>
    </row>
    <row r="498" spans="1:19" ht="30.75" customHeight="1">
      <c r="A498" s="39" t="s">
        <v>155</v>
      </c>
      <c r="B498" s="71" t="s">
        <v>202</v>
      </c>
      <c r="C498" s="72" t="s">
        <v>240</v>
      </c>
      <c r="D498" s="72" t="s">
        <v>320</v>
      </c>
      <c r="E498" s="72" t="s">
        <v>342</v>
      </c>
      <c r="F498" s="74"/>
      <c r="G498" s="96">
        <f>G499</f>
        <v>273</v>
      </c>
      <c r="H498" s="75">
        <f>H499</f>
        <v>0</v>
      </c>
      <c r="I498" s="75">
        <f>I499</f>
        <v>0</v>
      </c>
      <c r="J498" s="96">
        <f>J499</f>
        <v>0</v>
      </c>
      <c r="K498" s="287">
        <f aca="true" t="shared" si="95" ref="K498:Q498">K500</f>
        <v>273</v>
      </c>
      <c r="L498" s="287">
        <f t="shared" si="95"/>
        <v>0</v>
      </c>
      <c r="M498" s="287">
        <f t="shared" si="95"/>
        <v>0</v>
      </c>
      <c r="N498" s="287">
        <f t="shared" si="95"/>
        <v>273</v>
      </c>
      <c r="O498" s="287">
        <f t="shared" si="95"/>
        <v>0</v>
      </c>
      <c r="P498" s="287">
        <f t="shared" si="95"/>
        <v>0</v>
      </c>
      <c r="Q498" s="449">
        <f t="shared" si="95"/>
        <v>273</v>
      </c>
      <c r="R498" s="449">
        <f>R500</f>
        <v>260.51568</v>
      </c>
      <c r="S498" s="465">
        <f t="shared" si="87"/>
        <v>95.426989010989</v>
      </c>
    </row>
    <row r="499" spans="1:19" ht="10.5" customHeight="1" hidden="1">
      <c r="A499" s="39" t="s">
        <v>208</v>
      </c>
      <c r="B499" s="71" t="s">
        <v>202</v>
      </c>
      <c r="C499" s="72" t="s">
        <v>240</v>
      </c>
      <c r="D499" s="72" t="s">
        <v>320</v>
      </c>
      <c r="E499" s="72" t="s">
        <v>342</v>
      </c>
      <c r="F499" s="74" t="s">
        <v>209</v>
      </c>
      <c r="G499" s="89">
        <f>G500</f>
        <v>273</v>
      </c>
      <c r="H499" s="82">
        <f>H500+H501+H502+H503</f>
        <v>0</v>
      </c>
      <c r="I499" s="82">
        <f>I500+I501+I502+I503</f>
        <v>0</v>
      </c>
      <c r="J499" s="89">
        <f>J500</f>
        <v>0</v>
      </c>
      <c r="K499" s="275">
        <f>K500</f>
        <v>273</v>
      </c>
      <c r="L499" s="315"/>
      <c r="M499" s="82"/>
      <c r="N499" s="89"/>
      <c r="O499" s="89"/>
      <c r="P499" s="275"/>
      <c r="Q499" s="448"/>
      <c r="R499" s="448"/>
      <c r="S499" s="465" t="e">
        <f t="shared" si="87"/>
        <v>#DIV/0!</v>
      </c>
    </row>
    <row r="500" spans="1:19" ht="15.75" customHeight="1">
      <c r="A500" s="192" t="s">
        <v>109</v>
      </c>
      <c r="B500" s="141" t="s">
        <v>202</v>
      </c>
      <c r="C500" s="76" t="s">
        <v>240</v>
      </c>
      <c r="D500" s="76" t="s">
        <v>320</v>
      </c>
      <c r="E500" s="76" t="s">
        <v>342</v>
      </c>
      <c r="F500" s="78" t="s">
        <v>106</v>
      </c>
      <c r="G500" s="89">
        <f>G501</f>
        <v>273</v>
      </c>
      <c r="H500" s="82"/>
      <c r="I500" s="82"/>
      <c r="J500" s="89"/>
      <c r="K500" s="275">
        <v>273</v>
      </c>
      <c r="L500" s="315"/>
      <c r="M500" s="82"/>
      <c r="N500" s="89">
        <f>K500+L500+M500</f>
        <v>273</v>
      </c>
      <c r="O500" s="89"/>
      <c r="P500" s="275"/>
      <c r="Q500" s="448">
        <f>N500+O500+P500</f>
        <v>273</v>
      </c>
      <c r="R500" s="448">
        <v>260.51568</v>
      </c>
      <c r="S500" s="444">
        <f t="shared" si="87"/>
        <v>95.426989010989</v>
      </c>
    </row>
    <row r="501" spans="1:19" ht="1.5" customHeight="1" hidden="1">
      <c r="A501" s="39"/>
      <c r="B501" s="71"/>
      <c r="C501" s="72"/>
      <c r="D501" s="72"/>
      <c r="E501" s="72"/>
      <c r="F501" s="74" t="s">
        <v>236</v>
      </c>
      <c r="G501" s="89">
        <v>273</v>
      </c>
      <c r="H501" s="82"/>
      <c r="I501" s="82"/>
      <c r="J501" s="89">
        <v>273</v>
      </c>
      <c r="K501" s="275">
        <v>273</v>
      </c>
      <c r="L501" s="315"/>
      <c r="M501" s="82"/>
      <c r="N501" s="89"/>
      <c r="O501" s="89"/>
      <c r="P501" s="275"/>
      <c r="Q501" s="448"/>
      <c r="R501" s="448"/>
      <c r="S501" s="465" t="e">
        <f t="shared" si="87"/>
        <v>#DIV/0!</v>
      </c>
    </row>
    <row r="502" spans="1:19" ht="12.75" hidden="1">
      <c r="A502" s="39"/>
      <c r="B502" s="71"/>
      <c r="C502" s="72"/>
      <c r="D502" s="72"/>
      <c r="E502" s="72"/>
      <c r="F502" s="74" t="s">
        <v>237</v>
      </c>
      <c r="G502" s="89"/>
      <c r="H502" s="82"/>
      <c r="I502" s="82"/>
      <c r="J502" s="89"/>
      <c r="K502" s="275"/>
      <c r="L502" s="315"/>
      <c r="M502" s="82"/>
      <c r="N502" s="89"/>
      <c r="O502" s="89"/>
      <c r="P502" s="275"/>
      <c r="Q502" s="448"/>
      <c r="R502" s="448"/>
      <c r="S502" s="465" t="e">
        <f t="shared" si="87"/>
        <v>#DIV/0!</v>
      </c>
    </row>
    <row r="503" spans="1:19" ht="12.75" hidden="1">
      <c r="A503" s="39"/>
      <c r="B503" s="71"/>
      <c r="C503" s="72"/>
      <c r="D503" s="72"/>
      <c r="E503" s="72"/>
      <c r="F503" s="74" t="s">
        <v>239</v>
      </c>
      <c r="G503" s="89"/>
      <c r="H503" s="82"/>
      <c r="I503" s="82"/>
      <c r="J503" s="89"/>
      <c r="K503" s="275"/>
      <c r="L503" s="315"/>
      <c r="M503" s="82"/>
      <c r="N503" s="89"/>
      <c r="O503" s="89"/>
      <c r="P503" s="275"/>
      <c r="Q503" s="448"/>
      <c r="R503" s="448"/>
      <c r="S503" s="465" t="e">
        <f t="shared" si="87"/>
        <v>#DIV/0!</v>
      </c>
    </row>
    <row r="504" spans="1:19" ht="16.5" customHeight="1">
      <c r="A504" s="39" t="s">
        <v>343</v>
      </c>
      <c r="B504" s="71" t="s">
        <v>202</v>
      </c>
      <c r="C504" s="72" t="s">
        <v>240</v>
      </c>
      <c r="D504" s="72" t="s">
        <v>320</v>
      </c>
      <c r="E504" s="72" t="s">
        <v>344</v>
      </c>
      <c r="F504" s="74"/>
      <c r="G504" s="96">
        <f aca="true" t="shared" si="96" ref="G504:K505">G505</f>
        <v>175</v>
      </c>
      <c r="H504" s="75">
        <f t="shared" si="96"/>
        <v>210</v>
      </c>
      <c r="I504" s="75">
        <f t="shared" si="96"/>
        <v>230</v>
      </c>
      <c r="J504" s="96">
        <f t="shared" si="96"/>
        <v>0</v>
      </c>
      <c r="K504" s="287">
        <f aca="true" t="shared" si="97" ref="K504:Q504">K506</f>
        <v>175</v>
      </c>
      <c r="L504" s="287">
        <f t="shared" si="97"/>
        <v>0</v>
      </c>
      <c r="M504" s="287">
        <f t="shared" si="97"/>
        <v>0</v>
      </c>
      <c r="N504" s="287">
        <f t="shared" si="97"/>
        <v>175</v>
      </c>
      <c r="O504" s="287">
        <f t="shared" si="97"/>
        <v>0</v>
      </c>
      <c r="P504" s="287">
        <f t="shared" si="97"/>
        <v>0</v>
      </c>
      <c r="Q504" s="449">
        <f t="shared" si="97"/>
        <v>175</v>
      </c>
      <c r="R504" s="449">
        <f>R506</f>
        <v>95</v>
      </c>
      <c r="S504" s="465">
        <f t="shared" si="87"/>
        <v>54.285714285714285</v>
      </c>
    </row>
    <row r="505" spans="1:19" ht="0.75" customHeight="1" hidden="1">
      <c r="A505" s="39" t="s">
        <v>208</v>
      </c>
      <c r="B505" s="71" t="s">
        <v>202</v>
      </c>
      <c r="C505" s="72" t="s">
        <v>240</v>
      </c>
      <c r="D505" s="72" t="s">
        <v>320</v>
      </c>
      <c r="E505" s="72" t="s">
        <v>344</v>
      </c>
      <c r="F505" s="74" t="s">
        <v>209</v>
      </c>
      <c r="G505" s="89">
        <f t="shared" si="96"/>
        <v>175</v>
      </c>
      <c r="H505" s="82">
        <f t="shared" si="96"/>
        <v>210</v>
      </c>
      <c r="I505" s="82">
        <f t="shared" si="96"/>
        <v>230</v>
      </c>
      <c r="J505" s="89">
        <f t="shared" si="96"/>
        <v>0</v>
      </c>
      <c r="K505" s="275">
        <f t="shared" si="96"/>
        <v>175</v>
      </c>
      <c r="L505" s="315"/>
      <c r="M505" s="82"/>
      <c r="N505" s="89"/>
      <c r="O505" s="89"/>
      <c r="P505" s="275"/>
      <c r="Q505" s="448"/>
      <c r="R505" s="448"/>
      <c r="S505" s="465" t="e">
        <f t="shared" si="87"/>
        <v>#DIV/0!</v>
      </c>
    </row>
    <row r="506" spans="1:19" ht="15.75" customHeight="1">
      <c r="A506" s="192" t="s">
        <v>109</v>
      </c>
      <c r="B506" s="141" t="s">
        <v>202</v>
      </c>
      <c r="C506" s="76" t="s">
        <v>240</v>
      </c>
      <c r="D506" s="76" t="s">
        <v>320</v>
      </c>
      <c r="E506" s="76" t="s">
        <v>344</v>
      </c>
      <c r="F506" s="78" t="s">
        <v>106</v>
      </c>
      <c r="G506" s="89">
        <v>175</v>
      </c>
      <c r="H506" s="82">
        <v>210</v>
      </c>
      <c r="I506" s="82">
        <v>230</v>
      </c>
      <c r="J506" s="89"/>
      <c r="K506" s="275">
        <v>175</v>
      </c>
      <c r="L506" s="315"/>
      <c r="M506" s="82"/>
      <c r="N506" s="89">
        <f>K506+L506+M506</f>
        <v>175</v>
      </c>
      <c r="O506" s="89"/>
      <c r="P506" s="275"/>
      <c r="Q506" s="448">
        <f>N506+O506+P506</f>
        <v>175</v>
      </c>
      <c r="R506" s="448">
        <v>95</v>
      </c>
      <c r="S506" s="444">
        <f t="shared" si="87"/>
        <v>54.285714285714285</v>
      </c>
    </row>
    <row r="507" spans="1:19" ht="25.5">
      <c r="A507" s="39" t="s">
        <v>156</v>
      </c>
      <c r="B507" s="71" t="s">
        <v>202</v>
      </c>
      <c r="C507" s="72" t="s">
        <v>240</v>
      </c>
      <c r="D507" s="72" t="s">
        <v>320</v>
      </c>
      <c r="E507" s="72" t="s">
        <v>341</v>
      </c>
      <c r="F507" s="74"/>
      <c r="G507" s="96">
        <f>G508</f>
        <v>40</v>
      </c>
      <c r="H507" s="75">
        <f>H508</f>
        <v>0</v>
      </c>
      <c r="I507" s="75">
        <f>I508</f>
        <v>0</v>
      </c>
      <c r="J507" s="96">
        <f>J508</f>
        <v>0</v>
      </c>
      <c r="K507" s="287">
        <f aca="true" t="shared" si="98" ref="K507:Q507">K537</f>
        <v>40</v>
      </c>
      <c r="L507" s="287">
        <f t="shared" si="98"/>
        <v>0</v>
      </c>
      <c r="M507" s="287">
        <f t="shared" si="98"/>
        <v>0</v>
      </c>
      <c r="N507" s="287">
        <f t="shared" si="98"/>
        <v>40</v>
      </c>
      <c r="O507" s="287">
        <f t="shared" si="98"/>
        <v>0</v>
      </c>
      <c r="P507" s="287">
        <f t="shared" si="98"/>
        <v>0</v>
      </c>
      <c r="Q507" s="449">
        <f t="shared" si="98"/>
        <v>40</v>
      </c>
      <c r="R507" s="449">
        <f>R537</f>
        <v>39.98648</v>
      </c>
      <c r="S507" s="465">
        <f t="shared" si="87"/>
        <v>99.9662</v>
      </c>
    </row>
    <row r="508" spans="1:19" ht="0.75" customHeight="1" hidden="1">
      <c r="A508" s="39" t="s">
        <v>208</v>
      </c>
      <c r="B508" s="71" t="s">
        <v>202</v>
      </c>
      <c r="C508" s="76" t="s">
        <v>240</v>
      </c>
      <c r="D508" s="76" t="s">
        <v>320</v>
      </c>
      <c r="E508" s="76" t="s">
        <v>341</v>
      </c>
      <c r="F508" s="78" t="s">
        <v>209</v>
      </c>
      <c r="G508" s="89">
        <f>G537</f>
        <v>40</v>
      </c>
      <c r="H508" s="82">
        <f>H537</f>
        <v>0</v>
      </c>
      <c r="I508" s="82">
        <f>I537</f>
        <v>0</v>
      </c>
      <c r="J508" s="89">
        <f>J537</f>
        <v>0</v>
      </c>
      <c r="K508" s="275">
        <f>K537</f>
        <v>40</v>
      </c>
      <c r="L508" s="315"/>
      <c r="M508" s="82"/>
      <c r="N508" s="89"/>
      <c r="O508" s="89"/>
      <c r="P508" s="275"/>
      <c r="Q508" s="448"/>
      <c r="R508" s="448"/>
      <c r="S508" s="465" t="e">
        <f t="shared" si="87"/>
        <v>#DIV/0!</v>
      </c>
    </row>
    <row r="509" spans="1:19" ht="21" customHeight="1" hidden="1">
      <c r="A509" s="46" t="s">
        <v>227</v>
      </c>
      <c r="B509" s="71" t="s">
        <v>202</v>
      </c>
      <c r="C509" s="76" t="s">
        <v>240</v>
      </c>
      <c r="D509" s="76" t="s">
        <v>320</v>
      </c>
      <c r="E509" s="76" t="s">
        <v>342</v>
      </c>
      <c r="F509" s="78" t="s">
        <v>209</v>
      </c>
      <c r="G509" s="96"/>
      <c r="H509" s="75"/>
      <c r="I509" s="75"/>
      <c r="J509" s="96"/>
      <c r="K509" s="287"/>
      <c r="L509" s="313"/>
      <c r="M509" s="75"/>
      <c r="N509" s="96"/>
      <c r="O509" s="96"/>
      <c r="P509" s="287"/>
      <c r="Q509" s="449"/>
      <c r="R509" s="449"/>
      <c r="S509" s="465" t="e">
        <f t="shared" si="87"/>
        <v>#DIV/0!</v>
      </c>
    </row>
    <row r="510" spans="1:19" ht="15" customHeight="1" hidden="1">
      <c r="A510" s="46" t="s">
        <v>228</v>
      </c>
      <c r="B510" s="71" t="s">
        <v>202</v>
      </c>
      <c r="C510" s="76" t="s">
        <v>240</v>
      </c>
      <c r="D510" s="76" t="s">
        <v>320</v>
      </c>
      <c r="E510" s="76" t="s">
        <v>342</v>
      </c>
      <c r="F510" s="78" t="s">
        <v>209</v>
      </c>
      <c r="G510" s="96">
        <f>G511+G512</f>
        <v>0</v>
      </c>
      <c r="H510" s="75">
        <f>H511+H512</f>
        <v>0</v>
      </c>
      <c r="I510" s="75">
        <f>I511+I512</f>
        <v>0</v>
      </c>
      <c r="J510" s="96">
        <f>J511+J512</f>
        <v>0</v>
      </c>
      <c r="K510" s="287">
        <f>K511+K512</f>
        <v>0</v>
      </c>
      <c r="L510" s="313"/>
      <c r="M510" s="75"/>
      <c r="N510" s="96"/>
      <c r="O510" s="96"/>
      <c r="P510" s="287"/>
      <c r="Q510" s="449"/>
      <c r="R510" s="449"/>
      <c r="S510" s="465" t="e">
        <f t="shared" si="87"/>
        <v>#DIV/0!</v>
      </c>
    </row>
    <row r="511" spans="1:19" ht="15" customHeight="1" hidden="1">
      <c r="A511" s="46" t="s">
        <v>229</v>
      </c>
      <c r="B511" s="71" t="s">
        <v>202</v>
      </c>
      <c r="C511" s="76" t="s">
        <v>240</v>
      </c>
      <c r="D511" s="76" t="s">
        <v>320</v>
      </c>
      <c r="E511" s="76" t="s">
        <v>342</v>
      </c>
      <c r="F511" s="78" t="s">
        <v>209</v>
      </c>
      <c r="G511" s="96"/>
      <c r="H511" s="75"/>
      <c r="I511" s="75"/>
      <c r="J511" s="96"/>
      <c r="K511" s="287"/>
      <c r="L511" s="313"/>
      <c r="M511" s="75"/>
      <c r="N511" s="96"/>
      <c r="O511" s="96"/>
      <c r="P511" s="287"/>
      <c r="Q511" s="449"/>
      <c r="R511" s="449"/>
      <c r="S511" s="465" t="e">
        <f t="shared" si="87"/>
        <v>#DIV/0!</v>
      </c>
    </row>
    <row r="512" spans="1:19" ht="15" customHeight="1" hidden="1">
      <c r="A512" s="46" t="s">
        <v>230</v>
      </c>
      <c r="B512" s="71" t="s">
        <v>202</v>
      </c>
      <c r="C512" s="76" t="s">
        <v>240</v>
      </c>
      <c r="D512" s="76" t="s">
        <v>320</v>
      </c>
      <c r="E512" s="76" t="s">
        <v>342</v>
      </c>
      <c r="F512" s="78" t="s">
        <v>209</v>
      </c>
      <c r="G512" s="96"/>
      <c r="H512" s="75"/>
      <c r="I512" s="75"/>
      <c r="J512" s="96"/>
      <c r="K512" s="287"/>
      <c r="L512" s="313"/>
      <c r="M512" s="75"/>
      <c r="N512" s="96"/>
      <c r="O512" s="96"/>
      <c r="P512" s="287"/>
      <c r="Q512" s="449"/>
      <c r="R512" s="449"/>
      <c r="S512" s="465" t="e">
        <f t="shared" si="87"/>
        <v>#DIV/0!</v>
      </c>
    </row>
    <row r="513" spans="1:19" ht="15" customHeight="1" hidden="1">
      <c r="A513" s="46"/>
      <c r="B513" s="71"/>
      <c r="C513" s="76"/>
      <c r="D513" s="76"/>
      <c r="E513" s="76"/>
      <c r="F513" s="78"/>
      <c r="G513" s="96"/>
      <c r="H513" s="75"/>
      <c r="I513" s="75"/>
      <c r="J513" s="96"/>
      <c r="K513" s="287"/>
      <c r="L513" s="313"/>
      <c r="M513" s="75"/>
      <c r="N513" s="96"/>
      <c r="O513" s="96"/>
      <c r="P513" s="287"/>
      <c r="Q513" s="449"/>
      <c r="R513" s="449"/>
      <c r="S513" s="465" t="e">
        <f t="shared" si="87"/>
        <v>#DIV/0!</v>
      </c>
    </row>
    <row r="514" spans="1:19" ht="15" customHeight="1" hidden="1">
      <c r="A514" s="46"/>
      <c r="B514" s="71"/>
      <c r="C514" s="76"/>
      <c r="D514" s="76"/>
      <c r="E514" s="76"/>
      <c r="F514" s="78"/>
      <c r="G514" s="96"/>
      <c r="H514" s="75"/>
      <c r="I514" s="75"/>
      <c r="J514" s="96"/>
      <c r="K514" s="287"/>
      <c r="L514" s="313"/>
      <c r="M514" s="75"/>
      <c r="N514" s="96"/>
      <c r="O514" s="96"/>
      <c r="P514" s="287"/>
      <c r="Q514" s="449"/>
      <c r="R514" s="449"/>
      <c r="S514" s="465" t="e">
        <f t="shared" si="87"/>
        <v>#DIV/0!</v>
      </c>
    </row>
    <row r="515" spans="1:19" ht="15" customHeight="1" hidden="1">
      <c r="A515" s="46"/>
      <c r="B515" s="71"/>
      <c r="C515" s="76"/>
      <c r="D515" s="76"/>
      <c r="E515" s="76"/>
      <c r="F515" s="78"/>
      <c r="G515" s="96"/>
      <c r="H515" s="75"/>
      <c r="I515" s="75"/>
      <c r="J515" s="96"/>
      <c r="K515" s="287"/>
      <c r="L515" s="313"/>
      <c r="M515" s="75"/>
      <c r="N515" s="96"/>
      <c r="O515" s="96"/>
      <c r="P515" s="287"/>
      <c r="Q515" s="449"/>
      <c r="R515" s="449"/>
      <c r="S515" s="465" t="e">
        <f t="shared" si="87"/>
        <v>#DIV/0!</v>
      </c>
    </row>
    <row r="516" spans="1:19" ht="15" customHeight="1" hidden="1">
      <c r="A516" s="46"/>
      <c r="B516" s="71"/>
      <c r="C516" s="76"/>
      <c r="D516" s="76"/>
      <c r="E516" s="76"/>
      <c r="F516" s="78"/>
      <c r="G516" s="96"/>
      <c r="H516" s="75"/>
      <c r="I516" s="75"/>
      <c r="J516" s="96"/>
      <c r="K516" s="287"/>
      <c r="L516" s="313"/>
      <c r="M516" s="75"/>
      <c r="N516" s="96"/>
      <c r="O516" s="96"/>
      <c r="P516" s="287"/>
      <c r="Q516" s="449"/>
      <c r="R516" s="449"/>
      <c r="S516" s="465" t="e">
        <f t="shared" si="87"/>
        <v>#DIV/0!</v>
      </c>
    </row>
    <row r="517" spans="1:19" ht="15" customHeight="1" hidden="1">
      <c r="A517" s="46" t="s">
        <v>308</v>
      </c>
      <c r="B517" s="71"/>
      <c r="C517" s="72" t="s">
        <v>240</v>
      </c>
      <c r="D517" s="72" t="s">
        <v>199</v>
      </c>
      <c r="E517" s="73" t="s">
        <v>200</v>
      </c>
      <c r="F517" s="74" t="s">
        <v>201</v>
      </c>
      <c r="G517" s="96" t="s">
        <v>345</v>
      </c>
      <c r="H517" s="75" t="s">
        <v>345</v>
      </c>
      <c r="I517" s="75" t="s">
        <v>345</v>
      </c>
      <c r="J517" s="96" t="s">
        <v>345</v>
      </c>
      <c r="K517" s="287" t="s">
        <v>345</v>
      </c>
      <c r="L517" s="313"/>
      <c r="M517" s="75"/>
      <c r="N517" s="96"/>
      <c r="O517" s="96"/>
      <c r="P517" s="287"/>
      <c r="Q517" s="449"/>
      <c r="R517" s="449"/>
      <c r="S517" s="465" t="e">
        <f t="shared" si="87"/>
        <v>#DIV/0!</v>
      </c>
    </row>
    <row r="518" spans="1:19" ht="12.75" hidden="1">
      <c r="A518" s="45" t="s">
        <v>210</v>
      </c>
      <c r="B518" s="71"/>
      <c r="C518" s="72" t="s">
        <v>240</v>
      </c>
      <c r="D518" s="72" t="s">
        <v>199</v>
      </c>
      <c r="E518" s="73" t="s">
        <v>200</v>
      </c>
      <c r="F518" s="74" t="s">
        <v>201</v>
      </c>
      <c r="G518" s="96" t="e">
        <f>G519+G523+G530+G532</f>
        <v>#REF!</v>
      </c>
      <c r="H518" s="75" t="e">
        <f>H519+H523+H530+H532</f>
        <v>#REF!</v>
      </c>
      <c r="I518" s="75" t="e">
        <f>I519+I523+I530+I532</f>
        <v>#REF!</v>
      </c>
      <c r="J518" s="96" t="e">
        <f>J519+J523+J530+J532</f>
        <v>#REF!</v>
      </c>
      <c r="K518" s="287" t="e">
        <f>K519+K523+K530+K532</f>
        <v>#REF!</v>
      </c>
      <c r="L518" s="313"/>
      <c r="M518" s="75"/>
      <c r="N518" s="96"/>
      <c r="O518" s="96"/>
      <c r="P518" s="287"/>
      <c r="Q518" s="449"/>
      <c r="R518" s="449"/>
      <c r="S518" s="465" t="e">
        <f t="shared" si="87"/>
        <v>#DIV/0!</v>
      </c>
    </row>
    <row r="519" spans="1:19" ht="12.75" hidden="1">
      <c r="A519" s="46" t="s">
        <v>211</v>
      </c>
      <c r="B519" s="71"/>
      <c r="C519" s="72" t="s">
        <v>240</v>
      </c>
      <c r="D519" s="72" t="s">
        <v>199</v>
      </c>
      <c r="E519" s="73" t="s">
        <v>200</v>
      </c>
      <c r="F519" s="74" t="s">
        <v>201</v>
      </c>
      <c r="G519" s="96">
        <f>SUM(G520:G522)</f>
        <v>0</v>
      </c>
      <c r="H519" s="75">
        <f>SUM(H520:H522)</f>
        <v>0</v>
      </c>
      <c r="I519" s="75">
        <f>SUM(I520:I522)</f>
        <v>0</v>
      </c>
      <c r="J519" s="96">
        <f>SUM(J520:J522)</f>
        <v>0</v>
      </c>
      <c r="K519" s="287">
        <f>SUM(K520:K522)</f>
        <v>0</v>
      </c>
      <c r="L519" s="313"/>
      <c r="M519" s="75"/>
      <c r="N519" s="96"/>
      <c r="O519" s="96"/>
      <c r="P519" s="287"/>
      <c r="Q519" s="449"/>
      <c r="R519" s="449"/>
      <c r="S519" s="465" t="e">
        <f t="shared" si="87"/>
        <v>#DIV/0!</v>
      </c>
    </row>
    <row r="520" spans="1:19" ht="12.75" hidden="1">
      <c r="A520" s="46" t="s">
        <v>212</v>
      </c>
      <c r="B520" s="71"/>
      <c r="C520" s="72" t="s">
        <v>240</v>
      </c>
      <c r="D520" s="72" t="s">
        <v>199</v>
      </c>
      <c r="E520" s="73" t="s">
        <v>200</v>
      </c>
      <c r="F520" s="74" t="s">
        <v>201</v>
      </c>
      <c r="G520" s="96">
        <f>G397+G436+G416</f>
        <v>0</v>
      </c>
      <c r="H520" s="75">
        <f>H397+H436+H416</f>
        <v>0</v>
      </c>
      <c r="I520" s="75">
        <f>I397+I436+I416</f>
        <v>0</v>
      </c>
      <c r="J520" s="96">
        <f>J397+J436+J416</f>
        <v>0</v>
      </c>
      <c r="K520" s="287">
        <f>K397+K436+K416</f>
        <v>0</v>
      </c>
      <c r="L520" s="313"/>
      <c r="M520" s="75"/>
      <c r="N520" s="96"/>
      <c r="O520" s="96"/>
      <c r="P520" s="287"/>
      <c r="Q520" s="449"/>
      <c r="R520" s="449"/>
      <c r="S520" s="465" t="e">
        <f t="shared" si="87"/>
        <v>#DIV/0!</v>
      </c>
    </row>
    <row r="521" spans="1:19" ht="12.75" hidden="1">
      <c r="A521" s="46" t="s">
        <v>213</v>
      </c>
      <c r="B521" s="71"/>
      <c r="C521" s="72" t="s">
        <v>240</v>
      </c>
      <c r="D521" s="72" t="s">
        <v>199</v>
      </c>
      <c r="E521" s="73" t="s">
        <v>200</v>
      </c>
      <c r="F521" s="74" t="s">
        <v>201</v>
      </c>
      <c r="G521" s="96">
        <f>G398</f>
        <v>0</v>
      </c>
      <c r="H521" s="75">
        <f>H398</f>
        <v>0</v>
      </c>
      <c r="I521" s="75">
        <f>I398</f>
        <v>0</v>
      </c>
      <c r="J521" s="96">
        <f>J398</f>
        <v>0</v>
      </c>
      <c r="K521" s="287">
        <f>K398</f>
        <v>0</v>
      </c>
      <c r="L521" s="313"/>
      <c r="M521" s="75"/>
      <c r="N521" s="96"/>
      <c r="O521" s="96"/>
      <c r="P521" s="287"/>
      <c r="Q521" s="449"/>
      <c r="R521" s="449"/>
      <c r="S521" s="465" t="e">
        <f t="shared" si="87"/>
        <v>#DIV/0!</v>
      </c>
    </row>
    <row r="522" spans="1:19" ht="12.75" hidden="1">
      <c r="A522" s="46" t="s">
        <v>214</v>
      </c>
      <c r="B522" s="71"/>
      <c r="C522" s="72" t="s">
        <v>240</v>
      </c>
      <c r="D522" s="72" t="s">
        <v>199</v>
      </c>
      <c r="E522" s="73" t="s">
        <v>200</v>
      </c>
      <c r="F522" s="74" t="s">
        <v>201</v>
      </c>
      <c r="G522" s="96">
        <f>G399+G438+G418</f>
        <v>0</v>
      </c>
      <c r="H522" s="75">
        <f>H399+H438+H418</f>
        <v>0</v>
      </c>
      <c r="I522" s="75">
        <f>I399+I438+I418</f>
        <v>0</v>
      </c>
      <c r="J522" s="96">
        <f>J399+J438+J418</f>
        <v>0</v>
      </c>
      <c r="K522" s="287">
        <f>K399+K438+K418</f>
        <v>0</v>
      </c>
      <c r="L522" s="313"/>
      <c r="M522" s="75"/>
      <c r="N522" s="96"/>
      <c r="O522" s="96"/>
      <c r="P522" s="287"/>
      <c r="Q522" s="449"/>
      <c r="R522" s="449"/>
      <c r="S522" s="465" t="e">
        <f t="shared" si="87"/>
        <v>#DIV/0!</v>
      </c>
    </row>
    <row r="523" spans="1:19" ht="12.75" hidden="1">
      <c r="A523" s="46" t="s">
        <v>222</v>
      </c>
      <c r="B523" s="71"/>
      <c r="C523" s="72" t="s">
        <v>240</v>
      </c>
      <c r="D523" s="72" t="s">
        <v>199</v>
      </c>
      <c r="E523" s="73" t="s">
        <v>200</v>
      </c>
      <c r="F523" s="74" t="s">
        <v>201</v>
      </c>
      <c r="G523" s="96">
        <f>SUM(G524:G529)</f>
        <v>313</v>
      </c>
      <c r="H523" s="75">
        <f>SUM(H524:H529)</f>
        <v>0</v>
      </c>
      <c r="I523" s="75">
        <f>SUM(I524:I529)</f>
        <v>0</v>
      </c>
      <c r="J523" s="96">
        <f>SUM(J524:J529)</f>
        <v>0</v>
      </c>
      <c r="K523" s="287">
        <f>SUM(K524:K529)</f>
        <v>313</v>
      </c>
      <c r="L523" s="313"/>
      <c r="M523" s="75"/>
      <c r="N523" s="96"/>
      <c r="O523" s="96"/>
      <c r="P523" s="287"/>
      <c r="Q523" s="449"/>
      <c r="R523" s="449"/>
      <c r="S523" s="465" t="e">
        <f t="shared" si="87"/>
        <v>#DIV/0!</v>
      </c>
    </row>
    <row r="524" spans="1:19" ht="12.75" hidden="1">
      <c r="A524" s="46" t="s">
        <v>223</v>
      </c>
      <c r="B524" s="71"/>
      <c r="C524" s="72" t="s">
        <v>240</v>
      </c>
      <c r="D524" s="72" t="s">
        <v>199</v>
      </c>
      <c r="E524" s="73" t="s">
        <v>200</v>
      </c>
      <c r="F524" s="74" t="s">
        <v>201</v>
      </c>
      <c r="G524" s="96">
        <f>G401+G445+G420</f>
        <v>0</v>
      </c>
      <c r="H524" s="75">
        <f>H401+H445+H420</f>
        <v>0</v>
      </c>
      <c r="I524" s="75">
        <f>I401+I445+I420</f>
        <v>0</v>
      </c>
      <c r="J524" s="96">
        <f>J401+J445+J420</f>
        <v>0</v>
      </c>
      <c r="K524" s="287">
        <f>K401+K445+K420</f>
        <v>0</v>
      </c>
      <c r="L524" s="313"/>
      <c r="M524" s="75"/>
      <c r="N524" s="96"/>
      <c r="O524" s="96"/>
      <c r="P524" s="287"/>
      <c r="Q524" s="449"/>
      <c r="R524" s="449"/>
      <c r="S524" s="465" t="e">
        <f t="shared" si="87"/>
        <v>#DIV/0!</v>
      </c>
    </row>
    <row r="525" spans="1:19" ht="12.75" hidden="1">
      <c r="A525" s="46" t="s">
        <v>224</v>
      </c>
      <c r="B525" s="71"/>
      <c r="C525" s="72" t="s">
        <v>240</v>
      </c>
      <c r="D525" s="72" t="s">
        <v>199</v>
      </c>
      <c r="E525" s="73" t="s">
        <v>200</v>
      </c>
      <c r="F525" s="74" t="s">
        <v>201</v>
      </c>
      <c r="G525" s="96">
        <f>G402</f>
        <v>0</v>
      </c>
      <c r="H525" s="75">
        <f>H402</f>
        <v>0</v>
      </c>
      <c r="I525" s="75">
        <f>I402</f>
        <v>0</v>
      </c>
      <c r="J525" s="96">
        <f>J402</f>
        <v>0</v>
      </c>
      <c r="K525" s="287">
        <f>K402</f>
        <v>0</v>
      </c>
      <c r="L525" s="313"/>
      <c r="M525" s="75"/>
      <c r="N525" s="96"/>
      <c r="O525" s="96"/>
      <c r="P525" s="287"/>
      <c r="Q525" s="449"/>
      <c r="R525" s="449"/>
      <c r="S525" s="465" t="e">
        <f t="shared" si="87"/>
        <v>#DIV/0!</v>
      </c>
    </row>
    <row r="526" spans="1:19" ht="12.75" hidden="1">
      <c r="A526" s="46" t="s">
        <v>242</v>
      </c>
      <c r="B526" s="71"/>
      <c r="C526" s="72" t="s">
        <v>240</v>
      </c>
      <c r="D526" s="72" t="s">
        <v>199</v>
      </c>
      <c r="E526" s="73" t="s">
        <v>200</v>
      </c>
      <c r="F526" s="74" t="s">
        <v>201</v>
      </c>
      <c r="G526" s="96">
        <f>G403+G422</f>
        <v>0</v>
      </c>
      <c r="H526" s="75">
        <f>H403+H422</f>
        <v>0</v>
      </c>
      <c r="I526" s="75">
        <f>I403+I422</f>
        <v>0</v>
      </c>
      <c r="J526" s="96">
        <f>J403+J422</f>
        <v>0</v>
      </c>
      <c r="K526" s="287">
        <f>K403+K422</f>
        <v>0</v>
      </c>
      <c r="L526" s="313"/>
      <c r="M526" s="75"/>
      <c r="N526" s="96"/>
      <c r="O526" s="96"/>
      <c r="P526" s="287"/>
      <c r="Q526" s="449"/>
      <c r="R526" s="449"/>
      <c r="S526" s="465" t="e">
        <f t="shared" si="87"/>
        <v>#DIV/0!</v>
      </c>
    </row>
    <row r="527" spans="1:19" ht="12.75" hidden="1">
      <c r="A527" s="46" t="s">
        <v>243</v>
      </c>
      <c r="B527" s="71"/>
      <c r="C527" s="72" t="s">
        <v>240</v>
      </c>
      <c r="D527" s="72" t="s">
        <v>199</v>
      </c>
      <c r="E527" s="73" t="s">
        <v>200</v>
      </c>
      <c r="F527" s="74" t="s">
        <v>201</v>
      </c>
      <c r="G527" s="96">
        <f>G404+G508</f>
        <v>40</v>
      </c>
      <c r="H527" s="75">
        <f>H404+H508</f>
        <v>0</v>
      </c>
      <c r="I527" s="75">
        <f>I404+I508</f>
        <v>0</v>
      </c>
      <c r="J527" s="96">
        <f>J404+J508</f>
        <v>0</v>
      </c>
      <c r="K527" s="287">
        <f>K404+K508</f>
        <v>40</v>
      </c>
      <c r="L527" s="313"/>
      <c r="M527" s="75"/>
      <c r="N527" s="96"/>
      <c r="O527" s="96"/>
      <c r="P527" s="287"/>
      <c r="Q527" s="449"/>
      <c r="R527" s="449"/>
      <c r="S527" s="465" t="e">
        <f aca="true" t="shared" si="99" ref="S527:S590">R527/Q527*100</f>
        <v>#DIV/0!</v>
      </c>
    </row>
    <row r="528" spans="1:19" ht="12.75" hidden="1">
      <c r="A528" s="46" t="s">
        <v>225</v>
      </c>
      <c r="B528" s="71"/>
      <c r="C528" s="72" t="s">
        <v>240</v>
      </c>
      <c r="D528" s="72" t="s">
        <v>199</v>
      </c>
      <c r="E528" s="73" t="s">
        <v>200</v>
      </c>
      <c r="F528" s="74" t="s">
        <v>201</v>
      </c>
      <c r="G528" s="96">
        <f>G405+G444+G424</f>
        <v>0</v>
      </c>
      <c r="H528" s="75">
        <f>H405+H444+H424</f>
        <v>0</v>
      </c>
      <c r="I528" s="75">
        <f>I405+I444+I424</f>
        <v>0</v>
      </c>
      <c r="J528" s="96">
        <f>J405+J444+J424</f>
        <v>0</v>
      </c>
      <c r="K528" s="287">
        <f>K405+K444+K424</f>
        <v>0</v>
      </c>
      <c r="L528" s="313"/>
      <c r="M528" s="75"/>
      <c r="N528" s="96"/>
      <c r="O528" s="96"/>
      <c r="P528" s="287"/>
      <c r="Q528" s="449"/>
      <c r="R528" s="449"/>
      <c r="S528" s="465" t="e">
        <f t="shared" si="99"/>
        <v>#DIV/0!</v>
      </c>
    </row>
    <row r="529" spans="1:19" ht="12.75" hidden="1">
      <c r="A529" s="46" t="s">
        <v>226</v>
      </c>
      <c r="B529" s="71"/>
      <c r="C529" s="72" t="s">
        <v>240</v>
      </c>
      <c r="D529" s="72" t="s">
        <v>199</v>
      </c>
      <c r="E529" s="73" t="s">
        <v>200</v>
      </c>
      <c r="F529" s="74" t="s">
        <v>201</v>
      </c>
      <c r="G529" s="96">
        <f>G406+G461+G497+G498+G462+G446+G425+G427+G496+G467</f>
        <v>273</v>
      </c>
      <c r="H529" s="75">
        <f>H406+H461+H497+H498+H462+H446+H425+H427+H496+H467</f>
        <v>0</v>
      </c>
      <c r="I529" s="75">
        <f>I406+I461+I497+I498+I462+I446+I425+I427+I496+I467</f>
        <v>0</v>
      </c>
      <c r="J529" s="96">
        <f>J406+J461+J497+J498+J462+J446+J425+J427+J496+J467</f>
        <v>0</v>
      </c>
      <c r="K529" s="287">
        <f>K406+K461+K497+K498+K462+K446+K425+K427+K496+K467</f>
        <v>273</v>
      </c>
      <c r="L529" s="313"/>
      <c r="M529" s="75"/>
      <c r="N529" s="96"/>
      <c r="O529" s="96"/>
      <c r="P529" s="287"/>
      <c r="Q529" s="449"/>
      <c r="R529" s="449"/>
      <c r="S529" s="465" t="e">
        <f t="shared" si="99"/>
        <v>#DIV/0!</v>
      </c>
    </row>
    <row r="530" spans="1:19" ht="12.75" hidden="1">
      <c r="A530" s="46" t="s">
        <v>338</v>
      </c>
      <c r="B530" s="71"/>
      <c r="C530" s="72" t="s">
        <v>240</v>
      </c>
      <c r="D530" s="72" t="s">
        <v>199</v>
      </c>
      <c r="E530" s="73" t="s">
        <v>200</v>
      </c>
      <c r="F530" s="74" t="s">
        <v>201</v>
      </c>
      <c r="G530" s="96" t="e">
        <f>G531</f>
        <v>#REF!</v>
      </c>
      <c r="H530" s="75" t="e">
        <f>H531</f>
        <v>#REF!</v>
      </c>
      <c r="I530" s="75" t="e">
        <f>I531</f>
        <v>#REF!</v>
      </c>
      <c r="J530" s="96" t="e">
        <f>J531</f>
        <v>#REF!</v>
      </c>
      <c r="K530" s="287" t="e">
        <f>K531</f>
        <v>#REF!</v>
      </c>
      <c r="L530" s="313"/>
      <c r="M530" s="75"/>
      <c r="N530" s="96"/>
      <c r="O530" s="96"/>
      <c r="P530" s="287"/>
      <c r="Q530" s="449"/>
      <c r="R530" s="449"/>
      <c r="S530" s="465" t="e">
        <f t="shared" si="99"/>
        <v>#DIV/0!</v>
      </c>
    </row>
    <row r="531" spans="1:19" ht="25.5" hidden="1">
      <c r="A531" s="46" t="s">
        <v>346</v>
      </c>
      <c r="B531" s="71"/>
      <c r="C531" s="72" t="s">
        <v>240</v>
      </c>
      <c r="D531" s="72" t="s">
        <v>199</v>
      </c>
      <c r="E531" s="73" t="s">
        <v>200</v>
      </c>
      <c r="F531" s="74" t="s">
        <v>201</v>
      </c>
      <c r="G531" s="96" t="e">
        <f>#REF!</f>
        <v>#REF!</v>
      </c>
      <c r="H531" s="75" t="e">
        <f>#REF!</f>
        <v>#REF!</v>
      </c>
      <c r="I531" s="75" t="e">
        <f>#REF!</f>
        <v>#REF!</v>
      </c>
      <c r="J531" s="96" t="e">
        <f>#REF!</f>
        <v>#REF!</v>
      </c>
      <c r="K531" s="287" t="e">
        <f>#REF!</f>
        <v>#REF!</v>
      </c>
      <c r="L531" s="313"/>
      <c r="M531" s="75"/>
      <c r="N531" s="96"/>
      <c r="O531" s="96"/>
      <c r="P531" s="287"/>
      <c r="Q531" s="449"/>
      <c r="R531" s="449"/>
      <c r="S531" s="465" t="e">
        <f t="shared" si="99"/>
        <v>#DIV/0!</v>
      </c>
    </row>
    <row r="532" spans="1:19" ht="12.75" hidden="1">
      <c r="A532" s="46" t="s">
        <v>227</v>
      </c>
      <c r="B532" s="71"/>
      <c r="C532" s="72" t="s">
        <v>240</v>
      </c>
      <c r="D532" s="72" t="s">
        <v>199</v>
      </c>
      <c r="E532" s="73" t="s">
        <v>200</v>
      </c>
      <c r="F532" s="74" t="s">
        <v>201</v>
      </c>
      <c r="G532" s="96">
        <f>G407+G509</f>
        <v>0</v>
      </c>
      <c r="H532" s="75">
        <f>H407+H509</f>
        <v>0</v>
      </c>
      <c r="I532" s="75">
        <f>I407+I509</f>
        <v>0</v>
      </c>
      <c r="J532" s="96">
        <f>J407+J509</f>
        <v>0</v>
      </c>
      <c r="K532" s="287">
        <f>K407+K509</f>
        <v>0</v>
      </c>
      <c r="L532" s="313"/>
      <c r="M532" s="75"/>
      <c r="N532" s="96"/>
      <c r="O532" s="96"/>
      <c r="P532" s="287"/>
      <c r="Q532" s="449"/>
      <c r="R532" s="449"/>
      <c r="S532" s="465" t="e">
        <f t="shared" si="99"/>
        <v>#DIV/0!</v>
      </c>
    </row>
    <row r="533" spans="1:19" ht="12.75" hidden="1">
      <c r="A533" s="46" t="s">
        <v>228</v>
      </c>
      <c r="B533" s="71"/>
      <c r="C533" s="72" t="s">
        <v>240</v>
      </c>
      <c r="D533" s="72" t="s">
        <v>199</v>
      </c>
      <c r="E533" s="73" t="s">
        <v>200</v>
      </c>
      <c r="F533" s="74" t="s">
        <v>201</v>
      </c>
      <c r="G533" s="96">
        <f>SUM(G534:G535)</f>
        <v>0</v>
      </c>
      <c r="H533" s="75">
        <f>SUM(H534:H535)</f>
        <v>0</v>
      </c>
      <c r="I533" s="75">
        <f>SUM(I534:I535)</f>
        <v>0</v>
      </c>
      <c r="J533" s="96">
        <f>SUM(J534:J535)</f>
        <v>0</v>
      </c>
      <c r="K533" s="287">
        <f>SUM(K534:K535)</f>
        <v>0</v>
      </c>
      <c r="L533" s="313"/>
      <c r="M533" s="75"/>
      <c r="N533" s="96"/>
      <c r="O533" s="96"/>
      <c r="P533" s="287"/>
      <c r="Q533" s="449"/>
      <c r="R533" s="449"/>
      <c r="S533" s="465" t="e">
        <f t="shared" si="99"/>
        <v>#DIV/0!</v>
      </c>
    </row>
    <row r="534" spans="1:19" ht="12.75" hidden="1">
      <c r="A534" s="46" t="s">
        <v>229</v>
      </c>
      <c r="B534" s="71"/>
      <c r="C534" s="72" t="s">
        <v>240</v>
      </c>
      <c r="D534" s="72" t="s">
        <v>199</v>
      </c>
      <c r="E534" s="73" t="s">
        <v>200</v>
      </c>
      <c r="F534" s="74" t="s">
        <v>201</v>
      </c>
      <c r="G534" s="96">
        <f aca="true" t="shared" si="100" ref="G534:K535">G449+G429+G409+G511</f>
        <v>0</v>
      </c>
      <c r="H534" s="75">
        <f t="shared" si="100"/>
        <v>0</v>
      </c>
      <c r="I534" s="75">
        <f t="shared" si="100"/>
        <v>0</v>
      </c>
      <c r="J534" s="96">
        <f t="shared" si="100"/>
        <v>0</v>
      </c>
      <c r="K534" s="287">
        <f t="shared" si="100"/>
        <v>0</v>
      </c>
      <c r="L534" s="313"/>
      <c r="M534" s="75"/>
      <c r="N534" s="96"/>
      <c r="O534" s="96"/>
      <c r="P534" s="287"/>
      <c r="Q534" s="449"/>
      <c r="R534" s="449"/>
      <c r="S534" s="465" t="e">
        <f t="shared" si="99"/>
        <v>#DIV/0!</v>
      </c>
    </row>
    <row r="535" spans="1:19" ht="12.75" hidden="1">
      <c r="A535" s="46" t="s">
        <v>230</v>
      </c>
      <c r="B535" s="71"/>
      <c r="C535" s="72" t="s">
        <v>240</v>
      </c>
      <c r="D535" s="72" t="s">
        <v>199</v>
      </c>
      <c r="E535" s="73" t="s">
        <v>200</v>
      </c>
      <c r="F535" s="74" t="s">
        <v>201</v>
      </c>
      <c r="G535" s="96">
        <f t="shared" si="100"/>
        <v>0</v>
      </c>
      <c r="H535" s="75">
        <f t="shared" si="100"/>
        <v>0</v>
      </c>
      <c r="I535" s="75">
        <f t="shared" si="100"/>
        <v>0</v>
      </c>
      <c r="J535" s="96">
        <f t="shared" si="100"/>
        <v>0</v>
      </c>
      <c r="K535" s="287">
        <f t="shared" si="100"/>
        <v>0</v>
      </c>
      <c r="L535" s="313"/>
      <c r="M535" s="75"/>
      <c r="N535" s="96"/>
      <c r="O535" s="96"/>
      <c r="P535" s="287"/>
      <c r="Q535" s="449"/>
      <c r="R535" s="449"/>
      <c r="S535" s="465" t="e">
        <f t="shared" si="99"/>
        <v>#DIV/0!</v>
      </c>
    </row>
    <row r="536" spans="1:19" ht="12.75" hidden="1">
      <c r="A536" s="108" t="s">
        <v>290</v>
      </c>
      <c r="B536" s="90"/>
      <c r="C536" s="129" t="s">
        <v>240</v>
      </c>
      <c r="D536" s="129" t="s">
        <v>199</v>
      </c>
      <c r="E536" s="130" t="s">
        <v>200</v>
      </c>
      <c r="F536" s="131" t="s">
        <v>201</v>
      </c>
      <c r="G536" s="96" t="e">
        <f>G520+G521+G522+G524+G525+G526+G527+G528+G529+G531+G532+G534+G535</f>
        <v>#REF!</v>
      </c>
      <c r="H536" s="75" t="e">
        <f>H520+H521+H522+H524+H525+H526+H527+H528+H529+H531+H532+H534+H535</f>
        <v>#REF!</v>
      </c>
      <c r="I536" s="75" t="e">
        <f>I520+I521+I522+I524+I525+I526+I527+I528+I529+I531+I532+I534+I535</f>
        <v>#REF!</v>
      </c>
      <c r="J536" s="96" t="e">
        <f>J520+J521+J522+J524+J525+J526+J527+J528+J529+J531+J532+J534+J535</f>
        <v>#REF!</v>
      </c>
      <c r="K536" s="287" t="e">
        <f>K520+K521+K522+K524+K525+K526+K527+K528+K529+K531+K532+K534+K535</f>
        <v>#REF!</v>
      </c>
      <c r="L536" s="313"/>
      <c r="M536" s="75"/>
      <c r="N536" s="96"/>
      <c r="O536" s="96"/>
      <c r="P536" s="287"/>
      <c r="Q536" s="449"/>
      <c r="R536" s="449"/>
      <c r="S536" s="465" t="e">
        <f t="shared" si="99"/>
        <v>#DIV/0!</v>
      </c>
    </row>
    <row r="537" spans="1:19" ht="15.75" customHeight="1" thickBot="1">
      <c r="A537" s="192" t="s">
        <v>109</v>
      </c>
      <c r="B537" s="141" t="s">
        <v>202</v>
      </c>
      <c r="C537" s="76" t="s">
        <v>240</v>
      </c>
      <c r="D537" s="76" t="s">
        <v>320</v>
      </c>
      <c r="E537" s="76" t="s">
        <v>341</v>
      </c>
      <c r="F537" s="81" t="s">
        <v>106</v>
      </c>
      <c r="G537" s="97">
        <v>40</v>
      </c>
      <c r="H537" s="111"/>
      <c r="I537" s="111"/>
      <c r="J537" s="97"/>
      <c r="K537" s="269">
        <f>G537+J537</f>
        <v>40</v>
      </c>
      <c r="L537" s="315"/>
      <c r="M537" s="82"/>
      <c r="N537" s="89">
        <f>K537+L537+M537</f>
        <v>40</v>
      </c>
      <c r="O537" s="89"/>
      <c r="P537" s="275"/>
      <c r="Q537" s="460">
        <f>N537+O537+P537</f>
        <v>40</v>
      </c>
      <c r="R537" s="460">
        <v>39.98648</v>
      </c>
      <c r="S537" s="491">
        <f t="shared" si="99"/>
        <v>99.9662</v>
      </c>
    </row>
    <row r="538" spans="1:19" ht="16.5" customHeight="1" thickBot="1">
      <c r="A538" s="182" t="s">
        <v>144</v>
      </c>
      <c r="B538" s="183" t="s">
        <v>202</v>
      </c>
      <c r="C538" s="184" t="s">
        <v>249</v>
      </c>
      <c r="D538" s="184" t="s">
        <v>199</v>
      </c>
      <c r="E538" s="185"/>
      <c r="F538" s="186"/>
      <c r="G538" s="198">
        <f aca="true" t="shared" si="101" ref="G538:N538">G539+G574</f>
        <v>6000</v>
      </c>
      <c r="H538" s="187">
        <f t="shared" si="101"/>
        <v>5000</v>
      </c>
      <c r="I538" s="187">
        <f t="shared" si="101"/>
        <v>6000</v>
      </c>
      <c r="J538" s="198">
        <f t="shared" si="101"/>
        <v>-150.90700000000004</v>
      </c>
      <c r="K538" s="284">
        <f t="shared" si="101"/>
        <v>5849.093</v>
      </c>
      <c r="L538" s="284">
        <f t="shared" si="101"/>
        <v>-2293.0029999999997</v>
      </c>
      <c r="M538" s="284">
        <f t="shared" si="101"/>
        <v>2119.1</v>
      </c>
      <c r="N538" s="284">
        <f t="shared" si="101"/>
        <v>5675.1900000000005</v>
      </c>
      <c r="O538" s="284">
        <f>O539+O574</f>
        <v>-3385.584</v>
      </c>
      <c r="P538" s="284">
        <f>P539+P574</f>
        <v>787.234</v>
      </c>
      <c r="Q538" s="462">
        <f>Q539+Q574</f>
        <v>2902.84</v>
      </c>
      <c r="R538" s="463">
        <f>R539+R574</f>
        <v>2851.0760400000004</v>
      </c>
      <c r="S538" s="464">
        <f t="shared" si="99"/>
        <v>98.21678218572157</v>
      </c>
    </row>
    <row r="539" spans="1:19" ht="16.5" customHeight="1" thickBot="1">
      <c r="A539" s="17" t="s">
        <v>347</v>
      </c>
      <c r="B539" s="18" t="s">
        <v>202</v>
      </c>
      <c r="C539" s="19" t="s">
        <v>249</v>
      </c>
      <c r="D539" s="19" t="s">
        <v>198</v>
      </c>
      <c r="E539" s="20"/>
      <c r="F539" s="21"/>
      <c r="G539" s="199">
        <f aca="true" t="shared" si="102" ref="G539:N539">G559+G572</f>
        <v>2000</v>
      </c>
      <c r="H539" s="22">
        <f t="shared" si="102"/>
        <v>1000</v>
      </c>
      <c r="I539" s="22">
        <f t="shared" si="102"/>
        <v>2000</v>
      </c>
      <c r="J539" s="199">
        <f t="shared" si="102"/>
        <v>-733</v>
      </c>
      <c r="K539" s="285">
        <f t="shared" si="102"/>
        <v>1267</v>
      </c>
      <c r="L539" s="285">
        <f t="shared" si="102"/>
        <v>-1167</v>
      </c>
      <c r="M539" s="285">
        <f t="shared" si="102"/>
        <v>1245.35</v>
      </c>
      <c r="N539" s="285">
        <f t="shared" si="102"/>
        <v>1345.35</v>
      </c>
      <c r="O539" s="285">
        <f>O559+O572</f>
        <v>-1069.5839999999998</v>
      </c>
      <c r="P539" s="285">
        <f>P559+P572</f>
        <v>-172.766</v>
      </c>
      <c r="Q539" s="492">
        <f>Q559+Q572</f>
        <v>203</v>
      </c>
      <c r="R539" s="493">
        <f>R559+R572</f>
        <v>198.809</v>
      </c>
      <c r="S539" s="494">
        <f t="shared" si="99"/>
        <v>97.93546798029557</v>
      </c>
    </row>
    <row r="540" spans="1:19" ht="51.75" hidden="1" thickBot="1">
      <c r="A540" s="103" t="s">
        <v>348</v>
      </c>
      <c r="B540" s="99" t="s">
        <v>202</v>
      </c>
      <c r="C540" s="112" t="s">
        <v>249</v>
      </c>
      <c r="D540" s="112" t="s">
        <v>198</v>
      </c>
      <c r="E540" s="113" t="s">
        <v>349</v>
      </c>
      <c r="F540" s="104" t="s">
        <v>201</v>
      </c>
      <c r="G540" s="88">
        <f>G541+G545</f>
        <v>0</v>
      </c>
      <c r="H540" s="55">
        <f>H541+H545</f>
        <v>0</v>
      </c>
      <c r="I540" s="55">
        <f>I541+I545</f>
        <v>0</v>
      </c>
      <c r="J540" s="88">
        <f>J541+J545</f>
        <v>0</v>
      </c>
      <c r="K540" s="290">
        <f>K541+K545</f>
        <v>0</v>
      </c>
      <c r="L540" s="313"/>
      <c r="M540" s="75"/>
      <c r="N540" s="96"/>
      <c r="O540" s="96"/>
      <c r="P540" s="287"/>
      <c r="Q540" s="480"/>
      <c r="R540" s="480"/>
      <c r="S540" s="470" t="e">
        <f t="shared" si="99"/>
        <v>#DIV/0!</v>
      </c>
    </row>
    <row r="541" spans="1:19" ht="16.5" hidden="1" thickBot="1">
      <c r="A541" s="45" t="s">
        <v>210</v>
      </c>
      <c r="B541" s="71" t="s">
        <v>202</v>
      </c>
      <c r="C541" s="72" t="s">
        <v>249</v>
      </c>
      <c r="D541" s="72" t="s">
        <v>198</v>
      </c>
      <c r="E541" s="73" t="s">
        <v>349</v>
      </c>
      <c r="F541" s="74" t="s">
        <v>201</v>
      </c>
      <c r="G541" s="96">
        <f aca="true" t="shared" si="103" ref="G541:K542">G542</f>
        <v>0</v>
      </c>
      <c r="H541" s="75">
        <f t="shared" si="103"/>
        <v>0</v>
      </c>
      <c r="I541" s="75">
        <f t="shared" si="103"/>
        <v>0</v>
      </c>
      <c r="J541" s="96">
        <f t="shared" si="103"/>
        <v>0</v>
      </c>
      <c r="K541" s="287">
        <f t="shared" si="103"/>
        <v>0</v>
      </c>
      <c r="L541" s="313"/>
      <c r="M541" s="75"/>
      <c r="N541" s="96"/>
      <c r="O541" s="96"/>
      <c r="P541" s="287"/>
      <c r="Q541" s="449"/>
      <c r="R541" s="449"/>
      <c r="S541" s="459" t="e">
        <f t="shared" si="99"/>
        <v>#DIV/0!</v>
      </c>
    </row>
    <row r="542" spans="1:19" ht="16.5" hidden="1" thickBot="1">
      <c r="A542" s="46" t="s">
        <v>222</v>
      </c>
      <c r="B542" s="71" t="s">
        <v>202</v>
      </c>
      <c r="C542" s="72" t="s">
        <v>249</v>
      </c>
      <c r="D542" s="72" t="s">
        <v>198</v>
      </c>
      <c r="E542" s="73" t="s">
        <v>349</v>
      </c>
      <c r="F542" s="74" t="s">
        <v>201</v>
      </c>
      <c r="G542" s="96">
        <f t="shared" si="103"/>
        <v>0</v>
      </c>
      <c r="H542" s="75">
        <f t="shared" si="103"/>
        <v>0</v>
      </c>
      <c r="I542" s="75">
        <f t="shared" si="103"/>
        <v>0</v>
      </c>
      <c r="J542" s="96">
        <f t="shared" si="103"/>
        <v>0</v>
      </c>
      <c r="K542" s="287">
        <f t="shared" si="103"/>
        <v>0</v>
      </c>
      <c r="L542" s="313"/>
      <c r="M542" s="75"/>
      <c r="N542" s="96"/>
      <c r="O542" s="96"/>
      <c r="P542" s="287"/>
      <c r="Q542" s="449"/>
      <c r="R542" s="449"/>
      <c r="S542" s="459" t="e">
        <f t="shared" si="99"/>
        <v>#DIV/0!</v>
      </c>
    </row>
    <row r="543" spans="1:19" ht="16.5" hidden="1" thickBot="1">
      <c r="A543" s="46" t="s">
        <v>339</v>
      </c>
      <c r="B543" s="71" t="s">
        <v>202</v>
      </c>
      <c r="C543" s="72" t="s">
        <v>249</v>
      </c>
      <c r="D543" s="72" t="s">
        <v>198</v>
      </c>
      <c r="E543" s="73" t="s">
        <v>349</v>
      </c>
      <c r="F543" s="74" t="s">
        <v>201</v>
      </c>
      <c r="G543" s="96"/>
      <c r="H543" s="75"/>
      <c r="I543" s="75"/>
      <c r="J543" s="96"/>
      <c r="K543" s="287"/>
      <c r="L543" s="313"/>
      <c r="M543" s="75"/>
      <c r="N543" s="96"/>
      <c r="O543" s="96"/>
      <c r="P543" s="287"/>
      <c r="Q543" s="449"/>
      <c r="R543" s="449"/>
      <c r="S543" s="459" t="e">
        <f t="shared" si="99"/>
        <v>#DIV/0!</v>
      </c>
    </row>
    <row r="544" spans="1:19" ht="10.5" customHeight="1" hidden="1">
      <c r="A544" s="142" t="s">
        <v>350</v>
      </c>
      <c r="B544" s="71" t="s">
        <v>202</v>
      </c>
      <c r="C544" s="72" t="s">
        <v>249</v>
      </c>
      <c r="D544" s="72" t="s">
        <v>198</v>
      </c>
      <c r="E544" s="73" t="s">
        <v>349</v>
      </c>
      <c r="F544" s="74" t="s">
        <v>201</v>
      </c>
      <c r="G544" s="96"/>
      <c r="H544" s="75"/>
      <c r="I544" s="75"/>
      <c r="J544" s="96"/>
      <c r="K544" s="287"/>
      <c r="L544" s="313"/>
      <c r="M544" s="75"/>
      <c r="N544" s="96"/>
      <c r="O544" s="96"/>
      <c r="P544" s="287"/>
      <c r="Q544" s="449"/>
      <c r="R544" s="449"/>
      <c r="S544" s="459" t="e">
        <f t="shared" si="99"/>
        <v>#DIV/0!</v>
      </c>
    </row>
    <row r="545" spans="1:19" ht="16.5" hidden="1" thickBot="1">
      <c r="A545" s="46" t="s">
        <v>228</v>
      </c>
      <c r="B545" s="71" t="s">
        <v>202</v>
      </c>
      <c r="C545" s="72" t="s">
        <v>249</v>
      </c>
      <c r="D545" s="72" t="s">
        <v>198</v>
      </c>
      <c r="E545" s="73" t="s">
        <v>349</v>
      </c>
      <c r="F545" s="74" t="s">
        <v>351</v>
      </c>
      <c r="G545" s="96">
        <f>G546</f>
        <v>0</v>
      </c>
      <c r="H545" s="75">
        <f>H546</f>
        <v>0</v>
      </c>
      <c r="I545" s="75">
        <f>I546</f>
        <v>0</v>
      </c>
      <c r="J545" s="96">
        <f>J546</f>
        <v>0</v>
      </c>
      <c r="K545" s="287">
        <f>K546</f>
        <v>0</v>
      </c>
      <c r="L545" s="313"/>
      <c r="M545" s="75"/>
      <c r="N545" s="96"/>
      <c r="O545" s="96"/>
      <c r="P545" s="287"/>
      <c r="Q545" s="449"/>
      <c r="R545" s="449"/>
      <c r="S545" s="459" t="e">
        <f t="shared" si="99"/>
        <v>#DIV/0!</v>
      </c>
    </row>
    <row r="546" spans="1:19" ht="13.5" customHeight="1" hidden="1">
      <c r="A546" s="46" t="s">
        <v>229</v>
      </c>
      <c r="B546" s="71" t="s">
        <v>202</v>
      </c>
      <c r="C546" s="72" t="s">
        <v>249</v>
      </c>
      <c r="D546" s="72" t="s">
        <v>198</v>
      </c>
      <c r="E546" s="73" t="s">
        <v>349</v>
      </c>
      <c r="F546" s="74" t="s">
        <v>351</v>
      </c>
      <c r="G546" s="96"/>
      <c r="H546" s="75"/>
      <c r="I546" s="75"/>
      <c r="J546" s="96"/>
      <c r="K546" s="287"/>
      <c r="L546" s="313"/>
      <c r="M546" s="75"/>
      <c r="N546" s="96"/>
      <c r="O546" s="96"/>
      <c r="P546" s="287"/>
      <c r="Q546" s="449"/>
      <c r="R546" s="449"/>
      <c r="S546" s="459" t="e">
        <f t="shared" si="99"/>
        <v>#DIV/0!</v>
      </c>
    </row>
    <row r="547" spans="1:19" ht="16.5" hidden="1" thickBot="1">
      <c r="A547" s="46"/>
      <c r="B547" s="71"/>
      <c r="C547" s="72"/>
      <c r="D547" s="72"/>
      <c r="E547" s="73"/>
      <c r="F547" s="74"/>
      <c r="G547" s="96"/>
      <c r="H547" s="75"/>
      <c r="I547" s="75"/>
      <c r="J547" s="96"/>
      <c r="K547" s="287"/>
      <c r="L547" s="313"/>
      <c r="M547" s="75"/>
      <c r="N547" s="96"/>
      <c r="O547" s="96"/>
      <c r="P547" s="287"/>
      <c r="Q547" s="449"/>
      <c r="R547" s="449"/>
      <c r="S547" s="459" t="e">
        <f t="shared" si="99"/>
        <v>#DIV/0!</v>
      </c>
    </row>
    <row r="548" spans="1:19" ht="39" hidden="1" thickBot="1">
      <c r="A548" s="46" t="s">
        <v>352</v>
      </c>
      <c r="B548" s="71" t="s">
        <v>202</v>
      </c>
      <c r="C548" s="72" t="s">
        <v>249</v>
      </c>
      <c r="D548" s="72" t="s">
        <v>198</v>
      </c>
      <c r="E548" s="73" t="s">
        <v>353</v>
      </c>
      <c r="F548" s="74" t="s">
        <v>201</v>
      </c>
      <c r="G548" s="96">
        <f aca="true" t="shared" si="104" ref="G548:K550">G549</f>
        <v>0</v>
      </c>
      <c r="H548" s="75">
        <f t="shared" si="104"/>
        <v>0</v>
      </c>
      <c r="I548" s="75">
        <f t="shared" si="104"/>
        <v>0</v>
      </c>
      <c r="J548" s="96">
        <f t="shared" si="104"/>
        <v>0</v>
      </c>
      <c r="K548" s="287">
        <f t="shared" si="104"/>
        <v>0</v>
      </c>
      <c r="L548" s="313"/>
      <c r="M548" s="75"/>
      <c r="N548" s="96"/>
      <c r="O548" s="96"/>
      <c r="P548" s="287"/>
      <c r="Q548" s="449"/>
      <c r="R548" s="449"/>
      <c r="S548" s="459" t="e">
        <f t="shared" si="99"/>
        <v>#DIV/0!</v>
      </c>
    </row>
    <row r="549" spans="1:19" ht="16.5" hidden="1" thickBot="1">
      <c r="A549" s="46" t="s">
        <v>354</v>
      </c>
      <c r="B549" s="71" t="s">
        <v>202</v>
      </c>
      <c r="C549" s="72" t="s">
        <v>249</v>
      </c>
      <c r="D549" s="72" t="s">
        <v>198</v>
      </c>
      <c r="E549" s="73" t="s">
        <v>353</v>
      </c>
      <c r="F549" s="74" t="s">
        <v>201</v>
      </c>
      <c r="G549" s="96">
        <f t="shared" si="104"/>
        <v>0</v>
      </c>
      <c r="H549" s="75">
        <f t="shared" si="104"/>
        <v>0</v>
      </c>
      <c r="I549" s="75">
        <f t="shared" si="104"/>
        <v>0</v>
      </c>
      <c r="J549" s="96">
        <f t="shared" si="104"/>
        <v>0</v>
      </c>
      <c r="K549" s="287">
        <f t="shared" si="104"/>
        <v>0</v>
      </c>
      <c r="L549" s="313"/>
      <c r="M549" s="75"/>
      <c r="N549" s="96"/>
      <c r="O549" s="96"/>
      <c r="P549" s="287"/>
      <c r="Q549" s="449"/>
      <c r="R549" s="449"/>
      <c r="S549" s="459" t="e">
        <f t="shared" si="99"/>
        <v>#DIV/0!</v>
      </c>
    </row>
    <row r="550" spans="1:19" ht="16.5" hidden="1" thickBot="1">
      <c r="A550" s="46" t="s">
        <v>228</v>
      </c>
      <c r="B550" s="71" t="s">
        <v>202</v>
      </c>
      <c r="C550" s="72" t="s">
        <v>249</v>
      </c>
      <c r="D550" s="72" t="s">
        <v>198</v>
      </c>
      <c r="E550" s="73" t="s">
        <v>353</v>
      </c>
      <c r="F550" s="74" t="s">
        <v>351</v>
      </c>
      <c r="G550" s="96">
        <f t="shared" si="104"/>
        <v>0</v>
      </c>
      <c r="H550" s="75">
        <f t="shared" si="104"/>
        <v>0</v>
      </c>
      <c r="I550" s="75">
        <f t="shared" si="104"/>
        <v>0</v>
      </c>
      <c r="J550" s="96">
        <f t="shared" si="104"/>
        <v>0</v>
      </c>
      <c r="K550" s="287">
        <f t="shared" si="104"/>
        <v>0</v>
      </c>
      <c r="L550" s="313"/>
      <c r="M550" s="75"/>
      <c r="N550" s="96"/>
      <c r="O550" s="96"/>
      <c r="P550" s="287"/>
      <c r="Q550" s="449"/>
      <c r="R550" s="449"/>
      <c r="S550" s="459" t="e">
        <f t="shared" si="99"/>
        <v>#DIV/0!</v>
      </c>
    </row>
    <row r="551" spans="1:19" ht="16.5" hidden="1" thickBot="1">
      <c r="A551" s="46" t="s">
        <v>229</v>
      </c>
      <c r="B551" s="71" t="s">
        <v>202</v>
      </c>
      <c r="C551" s="72" t="s">
        <v>249</v>
      </c>
      <c r="D551" s="72" t="s">
        <v>198</v>
      </c>
      <c r="E551" s="73" t="s">
        <v>353</v>
      </c>
      <c r="F551" s="74" t="s">
        <v>351</v>
      </c>
      <c r="G551" s="96"/>
      <c r="H551" s="75"/>
      <c r="I551" s="75"/>
      <c r="J551" s="96"/>
      <c r="K551" s="287"/>
      <c r="L551" s="313"/>
      <c r="M551" s="75"/>
      <c r="N551" s="96"/>
      <c r="O551" s="96"/>
      <c r="P551" s="287"/>
      <c r="Q551" s="449"/>
      <c r="R551" s="449"/>
      <c r="S551" s="459" t="e">
        <f t="shared" si="99"/>
        <v>#DIV/0!</v>
      </c>
    </row>
    <row r="552" spans="1:19" ht="52.5" customHeight="1" hidden="1">
      <c r="A552" s="105" t="s">
        <v>355</v>
      </c>
      <c r="B552" s="71" t="s">
        <v>202</v>
      </c>
      <c r="C552" s="72" t="s">
        <v>249</v>
      </c>
      <c r="D552" s="72" t="s">
        <v>198</v>
      </c>
      <c r="E552" s="73" t="s">
        <v>353</v>
      </c>
      <c r="F552" s="74" t="s">
        <v>201</v>
      </c>
      <c r="G552" s="96">
        <f>G557</f>
        <v>0</v>
      </c>
      <c r="H552" s="75">
        <f>H557</f>
        <v>0</v>
      </c>
      <c r="I552" s="75">
        <f>I557</f>
        <v>0</v>
      </c>
      <c r="J552" s="96">
        <f>J557</f>
        <v>0</v>
      </c>
      <c r="K552" s="287">
        <f>K557</f>
        <v>0</v>
      </c>
      <c r="L552" s="313"/>
      <c r="M552" s="75"/>
      <c r="N552" s="96"/>
      <c r="O552" s="96"/>
      <c r="P552" s="287"/>
      <c r="Q552" s="449"/>
      <c r="R552" s="449"/>
      <c r="S552" s="459" t="e">
        <f t="shared" si="99"/>
        <v>#DIV/0!</v>
      </c>
    </row>
    <row r="553" spans="1:19" ht="16.5" hidden="1" thickBot="1">
      <c r="A553" s="46"/>
      <c r="B553" s="71" t="s">
        <v>202</v>
      </c>
      <c r="C553" s="72" t="s">
        <v>249</v>
      </c>
      <c r="D553" s="72" t="s">
        <v>198</v>
      </c>
      <c r="E553" s="73" t="s">
        <v>353</v>
      </c>
      <c r="F553" s="74" t="s">
        <v>201</v>
      </c>
      <c r="G553" s="96"/>
      <c r="H553" s="75"/>
      <c r="I553" s="75"/>
      <c r="J553" s="96"/>
      <c r="K553" s="287"/>
      <c r="L553" s="313"/>
      <c r="M553" s="75"/>
      <c r="N553" s="96"/>
      <c r="O553" s="96"/>
      <c r="P553" s="287"/>
      <c r="Q553" s="449"/>
      <c r="R553" s="449"/>
      <c r="S553" s="459" t="e">
        <f t="shared" si="99"/>
        <v>#DIV/0!</v>
      </c>
    </row>
    <row r="554" spans="1:19" ht="16.5" hidden="1" thickBot="1">
      <c r="A554" s="46"/>
      <c r="B554" s="71" t="s">
        <v>202</v>
      </c>
      <c r="C554" s="72" t="s">
        <v>249</v>
      </c>
      <c r="D554" s="72" t="s">
        <v>198</v>
      </c>
      <c r="E554" s="73" t="s">
        <v>353</v>
      </c>
      <c r="F554" s="74" t="s">
        <v>351</v>
      </c>
      <c r="G554" s="96"/>
      <c r="H554" s="75"/>
      <c r="I554" s="75"/>
      <c r="J554" s="96"/>
      <c r="K554" s="287"/>
      <c r="L554" s="313"/>
      <c r="M554" s="75"/>
      <c r="N554" s="96"/>
      <c r="O554" s="96"/>
      <c r="P554" s="287"/>
      <c r="Q554" s="449"/>
      <c r="R554" s="449"/>
      <c r="S554" s="459" t="e">
        <f t="shared" si="99"/>
        <v>#DIV/0!</v>
      </c>
    </row>
    <row r="555" spans="1:19" ht="16.5" hidden="1" thickBot="1">
      <c r="A555" s="46"/>
      <c r="B555" s="71" t="s">
        <v>202</v>
      </c>
      <c r="C555" s="72" t="s">
        <v>249</v>
      </c>
      <c r="D555" s="72" t="s">
        <v>198</v>
      </c>
      <c r="E555" s="73" t="s">
        <v>353</v>
      </c>
      <c r="F555" s="74" t="s">
        <v>351</v>
      </c>
      <c r="G555" s="96"/>
      <c r="H555" s="75"/>
      <c r="I555" s="75"/>
      <c r="J555" s="96"/>
      <c r="K555" s="287"/>
      <c r="L555" s="313"/>
      <c r="M555" s="75"/>
      <c r="N555" s="96"/>
      <c r="O555" s="96"/>
      <c r="P555" s="287"/>
      <c r="Q555" s="449"/>
      <c r="R555" s="449"/>
      <c r="S555" s="459" t="e">
        <f t="shared" si="99"/>
        <v>#DIV/0!</v>
      </c>
    </row>
    <row r="556" spans="1:19" ht="16.5" hidden="1" thickBot="1">
      <c r="A556" s="46"/>
      <c r="B556" s="71" t="s">
        <v>202</v>
      </c>
      <c r="C556" s="72" t="s">
        <v>249</v>
      </c>
      <c r="D556" s="72" t="s">
        <v>198</v>
      </c>
      <c r="E556" s="73" t="s">
        <v>353</v>
      </c>
      <c r="F556" s="74" t="s">
        <v>351</v>
      </c>
      <c r="G556" s="96"/>
      <c r="H556" s="75"/>
      <c r="I556" s="75"/>
      <c r="J556" s="96"/>
      <c r="K556" s="287"/>
      <c r="L556" s="313"/>
      <c r="M556" s="75"/>
      <c r="N556" s="96"/>
      <c r="O556" s="96"/>
      <c r="P556" s="287"/>
      <c r="Q556" s="449"/>
      <c r="R556" s="449"/>
      <c r="S556" s="459" t="e">
        <f t="shared" si="99"/>
        <v>#DIV/0!</v>
      </c>
    </row>
    <row r="557" spans="1:19" ht="16.5" hidden="1" thickBot="1">
      <c r="A557" s="46" t="s">
        <v>228</v>
      </c>
      <c r="B557" s="71" t="s">
        <v>202</v>
      </c>
      <c r="C557" s="72" t="s">
        <v>249</v>
      </c>
      <c r="D557" s="72" t="s">
        <v>198</v>
      </c>
      <c r="E557" s="73" t="s">
        <v>353</v>
      </c>
      <c r="F557" s="74" t="s">
        <v>351</v>
      </c>
      <c r="G557" s="96">
        <f>G558</f>
        <v>0</v>
      </c>
      <c r="H557" s="75">
        <f>H558</f>
        <v>0</v>
      </c>
      <c r="I557" s="75">
        <f>I558</f>
        <v>0</v>
      </c>
      <c r="J557" s="96">
        <f>J558</f>
        <v>0</v>
      </c>
      <c r="K557" s="287">
        <f>K558</f>
        <v>0</v>
      </c>
      <c r="L557" s="313"/>
      <c r="M557" s="75"/>
      <c r="N557" s="96"/>
      <c r="O557" s="96"/>
      <c r="P557" s="287"/>
      <c r="Q557" s="449"/>
      <c r="R557" s="449"/>
      <c r="S557" s="459" t="e">
        <f t="shared" si="99"/>
        <v>#DIV/0!</v>
      </c>
    </row>
    <row r="558" spans="1:19" ht="16.5" hidden="1" thickBot="1">
      <c r="A558" s="108" t="s">
        <v>229</v>
      </c>
      <c r="B558" s="90" t="s">
        <v>202</v>
      </c>
      <c r="C558" s="129" t="s">
        <v>249</v>
      </c>
      <c r="D558" s="129" t="s">
        <v>198</v>
      </c>
      <c r="E558" s="130" t="s">
        <v>353</v>
      </c>
      <c r="F558" s="131" t="s">
        <v>351</v>
      </c>
      <c r="G558" s="203"/>
      <c r="H558" s="121"/>
      <c r="I558" s="121"/>
      <c r="J558" s="203"/>
      <c r="K558" s="268"/>
      <c r="L558" s="313"/>
      <c r="M558" s="75"/>
      <c r="N558" s="96"/>
      <c r="O558" s="96"/>
      <c r="P558" s="287"/>
      <c r="Q558" s="449"/>
      <c r="R558" s="449"/>
      <c r="S558" s="459" t="e">
        <f t="shared" si="99"/>
        <v>#DIV/0!</v>
      </c>
    </row>
    <row r="559" spans="1:19" ht="16.5" customHeight="1">
      <c r="A559" s="65" t="s">
        <v>291</v>
      </c>
      <c r="B559" s="66" t="s">
        <v>202</v>
      </c>
      <c r="C559" s="67" t="s">
        <v>249</v>
      </c>
      <c r="D559" s="67" t="s">
        <v>198</v>
      </c>
      <c r="E559" s="67" t="s">
        <v>292</v>
      </c>
      <c r="F559" s="69"/>
      <c r="G559" s="200">
        <f aca="true" t="shared" si="105" ref="G559:N559">G568</f>
        <v>1000</v>
      </c>
      <c r="H559" s="70">
        <f t="shared" si="105"/>
        <v>1000</v>
      </c>
      <c r="I559" s="70">
        <f t="shared" si="105"/>
        <v>2000</v>
      </c>
      <c r="J559" s="200">
        <f t="shared" si="105"/>
        <v>267</v>
      </c>
      <c r="K559" s="286">
        <f t="shared" si="105"/>
        <v>1267</v>
      </c>
      <c r="L559" s="286">
        <f t="shared" si="105"/>
        <v>-1167</v>
      </c>
      <c r="M559" s="286">
        <f t="shared" si="105"/>
        <v>1245.35</v>
      </c>
      <c r="N559" s="286">
        <f t="shared" si="105"/>
        <v>1345.35</v>
      </c>
      <c r="O559" s="286">
        <f>O568</f>
        <v>-1069.5839999999998</v>
      </c>
      <c r="P559" s="286">
        <f>P568</f>
        <v>-172.766</v>
      </c>
      <c r="Q559" s="449">
        <f>Q568</f>
        <v>203</v>
      </c>
      <c r="R559" s="449">
        <f>R568</f>
        <v>198.809</v>
      </c>
      <c r="S559" s="465">
        <f t="shared" si="99"/>
        <v>97.93546798029557</v>
      </c>
    </row>
    <row r="560" spans="1:19" ht="12.75" hidden="1">
      <c r="A560" s="46" t="s">
        <v>208</v>
      </c>
      <c r="B560" s="71" t="s">
        <v>202</v>
      </c>
      <c r="C560" s="76" t="s">
        <v>249</v>
      </c>
      <c r="D560" s="76" t="s">
        <v>198</v>
      </c>
      <c r="E560" s="76" t="s">
        <v>292</v>
      </c>
      <c r="F560" s="78" t="s">
        <v>209</v>
      </c>
      <c r="G560" s="96">
        <f>G561+G569</f>
        <v>1000</v>
      </c>
      <c r="H560" s="75">
        <f>H561+H569</f>
        <v>1000</v>
      </c>
      <c r="I560" s="75">
        <f>I561+I569</f>
        <v>2000</v>
      </c>
      <c r="J560" s="96">
        <f>J561+J569</f>
        <v>267</v>
      </c>
      <c r="K560" s="287">
        <f>K561+K569</f>
        <v>1267</v>
      </c>
      <c r="L560" s="313"/>
      <c r="M560" s="75"/>
      <c r="N560" s="96"/>
      <c r="O560" s="96"/>
      <c r="P560" s="287"/>
      <c r="Q560" s="449"/>
      <c r="R560" s="449"/>
      <c r="S560" s="465" t="e">
        <f t="shared" si="99"/>
        <v>#DIV/0!</v>
      </c>
    </row>
    <row r="561" spans="1:19" ht="12.75" hidden="1">
      <c r="A561" s="45" t="s">
        <v>210</v>
      </c>
      <c r="B561" s="71" t="s">
        <v>202</v>
      </c>
      <c r="C561" s="76" t="s">
        <v>249</v>
      </c>
      <c r="D561" s="76" t="s">
        <v>198</v>
      </c>
      <c r="E561" s="76" t="s">
        <v>292</v>
      </c>
      <c r="F561" s="78" t="s">
        <v>209</v>
      </c>
      <c r="G561" s="96">
        <f>G562</f>
        <v>0</v>
      </c>
      <c r="H561" s="75">
        <f>H562</f>
        <v>0</v>
      </c>
      <c r="I561" s="75">
        <f>I562</f>
        <v>0</v>
      </c>
      <c r="J561" s="96">
        <f>J562</f>
        <v>0</v>
      </c>
      <c r="K561" s="287">
        <f>K562</f>
        <v>0</v>
      </c>
      <c r="L561" s="313"/>
      <c r="M561" s="75"/>
      <c r="N561" s="96"/>
      <c r="O561" s="96"/>
      <c r="P561" s="287"/>
      <c r="Q561" s="449"/>
      <c r="R561" s="449"/>
      <c r="S561" s="465" t="e">
        <f t="shared" si="99"/>
        <v>#DIV/0!</v>
      </c>
    </row>
    <row r="562" spans="1:19" ht="12.75" hidden="1">
      <c r="A562" s="39" t="s">
        <v>307</v>
      </c>
      <c r="B562" s="71" t="s">
        <v>202</v>
      </c>
      <c r="C562" s="76" t="s">
        <v>249</v>
      </c>
      <c r="D562" s="76" t="s">
        <v>198</v>
      </c>
      <c r="E562" s="76" t="s">
        <v>292</v>
      </c>
      <c r="F562" s="78" t="s">
        <v>209</v>
      </c>
      <c r="G562" s="96">
        <f>SUM(G563:G564)</f>
        <v>0</v>
      </c>
      <c r="H562" s="75">
        <f>SUM(H563:H564)</f>
        <v>0</v>
      </c>
      <c r="I562" s="75">
        <f>SUM(I563:I564)</f>
        <v>0</v>
      </c>
      <c r="J562" s="96">
        <f>SUM(J563:J564)</f>
        <v>0</v>
      </c>
      <c r="K562" s="287">
        <f>SUM(K563:K564)</f>
        <v>0</v>
      </c>
      <c r="L562" s="313"/>
      <c r="M562" s="75"/>
      <c r="N562" s="96"/>
      <c r="O562" s="96"/>
      <c r="P562" s="287"/>
      <c r="Q562" s="449"/>
      <c r="R562" s="449"/>
      <c r="S562" s="465" t="e">
        <f t="shared" si="99"/>
        <v>#DIV/0!</v>
      </c>
    </row>
    <row r="563" spans="1:19" ht="27" customHeight="1" hidden="1">
      <c r="A563" s="46" t="s">
        <v>356</v>
      </c>
      <c r="B563" s="71" t="s">
        <v>202</v>
      </c>
      <c r="C563" s="72" t="s">
        <v>249</v>
      </c>
      <c r="D563" s="72" t="s">
        <v>198</v>
      </c>
      <c r="E563" s="72" t="s">
        <v>357</v>
      </c>
      <c r="F563" s="74" t="s">
        <v>201</v>
      </c>
      <c r="G563" s="96">
        <f>G567</f>
        <v>0</v>
      </c>
      <c r="H563" s="75">
        <f>H567</f>
        <v>0</v>
      </c>
      <c r="I563" s="75">
        <f>I567</f>
        <v>0</v>
      </c>
      <c r="J563" s="96">
        <f>J567</f>
        <v>0</v>
      </c>
      <c r="K563" s="287">
        <f>K567</f>
        <v>0</v>
      </c>
      <c r="L563" s="313"/>
      <c r="M563" s="75"/>
      <c r="N563" s="96"/>
      <c r="O563" s="96"/>
      <c r="P563" s="287"/>
      <c r="Q563" s="449"/>
      <c r="R563" s="449"/>
      <c r="S563" s="465" t="e">
        <f t="shared" si="99"/>
        <v>#DIV/0!</v>
      </c>
    </row>
    <row r="564" spans="1:19" ht="19.5" customHeight="1" hidden="1">
      <c r="A564" s="46" t="s">
        <v>358</v>
      </c>
      <c r="B564" s="71" t="s">
        <v>202</v>
      </c>
      <c r="C564" s="76" t="s">
        <v>249</v>
      </c>
      <c r="D564" s="76" t="s">
        <v>198</v>
      </c>
      <c r="E564" s="76" t="s">
        <v>292</v>
      </c>
      <c r="F564" s="78" t="s">
        <v>209</v>
      </c>
      <c r="G564" s="96"/>
      <c r="H564" s="75"/>
      <c r="I564" s="75"/>
      <c r="J564" s="96"/>
      <c r="K564" s="287"/>
      <c r="L564" s="313"/>
      <c r="M564" s="75"/>
      <c r="N564" s="96"/>
      <c r="O564" s="96"/>
      <c r="P564" s="287"/>
      <c r="Q564" s="449"/>
      <c r="R564" s="449"/>
      <c r="S564" s="465" t="e">
        <f t="shared" si="99"/>
        <v>#DIV/0!</v>
      </c>
    </row>
    <row r="565" spans="1:19" ht="12.75" hidden="1">
      <c r="A565" s="46" t="s">
        <v>228</v>
      </c>
      <c r="B565" s="71" t="s">
        <v>202</v>
      </c>
      <c r="C565" s="76" t="s">
        <v>249</v>
      </c>
      <c r="D565" s="76" t="s">
        <v>198</v>
      </c>
      <c r="E565" s="76" t="s">
        <v>292</v>
      </c>
      <c r="F565" s="78" t="s">
        <v>209</v>
      </c>
      <c r="G565" s="96">
        <f>G566</f>
        <v>0</v>
      </c>
      <c r="H565" s="75">
        <f>H566</f>
        <v>0</v>
      </c>
      <c r="I565" s="75">
        <f>I566</f>
        <v>0</v>
      </c>
      <c r="J565" s="96">
        <f>J566</f>
        <v>0</v>
      </c>
      <c r="K565" s="287">
        <f>K566</f>
        <v>0</v>
      </c>
      <c r="L565" s="313"/>
      <c r="M565" s="75"/>
      <c r="N565" s="96"/>
      <c r="O565" s="96"/>
      <c r="P565" s="287"/>
      <c r="Q565" s="449"/>
      <c r="R565" s="449"/>
      <c r="S565" s="465" t="e">
        <f t="shared" si="99"/>
        <v>#DIV/0!</v>
      </c>
    </row>
    <row r="566" spans="1:19" ht="14.25" customHeight="1" hidden="1">
      <c r="A566" s="46" t="s">
        <v>359</v>
      </c>
      <c r="B566" s="71" t="s">
        <v>202</v>
      </c>
      <c r="C566" s="76" t="s">
        <v>249</v>
      </c>
      <c r="D566" s="76" t="s">
        <v>198</v>
      </c>
      <c r="E566" s="76" t="s">
        <v>292</v>
      </c>
      <c r="F566" s="78" t="s">
        <v>209</v>
      </c>
      <c r="G566" s="96"/>
      <c r="H566" s="75"/>
      <c r="I566" s="75"/>
      <c r="J566" s="96"/>
      <c r="K566" s="287"/>
      <c r="L566" s="313"/>
      <c r="M566" s="75"/>
      <c r="N566" s="96"/>
      <c r="O566" s="96"/>
      <c r="P566" s="287"/>
      <c r="Q566" s="449"/>
      <c r="R566" s="449"/>
      <c r="S566" s="465" t="e">
        <f t="shared" si="99"/>
        <v>#DIV/0!</v>
      </c>
    </row>
    <row r="567" spans="1:19" ht="12.75" hidden="1">
      <c r="A567" s="46" t="s">
        <v>208</v>
      </c>
      <c r="B567" s="71" t="s">
        <v>202</v>
      </c>
      <c r="C567" s="76" t="s">
        <v>249</v>
      </c>
      <c r="D567" s="76" t="s">
        <v>198</v>
      </c>
      <c r="E567" s="76" t="s">
        <v>357</v>
      </c>
      <c r="F567" s="78" t="s">
        <v>209</v>
      </c>
      <c r="G567" s="96">
        <f>3500/10-350</f>
        <v>0</v>
      </c>
      <c r="H567" s="75">
        <f>3500/10-350</f>
        <v>0</v>
      </c>
      <c r="I567" s="75">
        <f>3500/10-350</f>
        <v>0</v>
      </c>
      <c r="J567" s="96">
        <f>3500/10-350</f>
        <v>0</v>
      </c>
      <c r="K567" s="287">
        <f>3500/10-350</f>
        <v>0</v>
      </c>
      <c r="L567" s="313"/>
      <c r="M567" s="75"/>
      <c r="N567" s="96"/>
      <c r="O567" s="96"/>
      <c r="P567" s="287"/>
      <c r="Q567" s="449"/>
      <c r="R567" s="449"/>
      <c r="S567" s="465" t="e">
        <f t="shared" si="99"/>
        <v>#DIV/0!</v>
      </c>
    </row>
    <row r="568" spans="1:19" ht="27.75" customHeight="1">
      <c r="A568" s="46" t="s">
        <v>157</v>
      </c>
      <c r="B568" s="71" t="s">
        <v>202</v>
      </c>
      <c r="C568" s="72" t="s">
        <v>249</v>
      </c>
      <c r="D568" s="72" t="s">
        <v>198</v>
      </c>
      <c r="E568" s="72" t="s">
        <v>361</v>
      </c>
      <c r="F568" s="74"/>
      <c r="G568" s="96">
        <f aca="true" t="shared" si="106" ref="G568:J569">G569</f>
        <v>1000</v>
      </c>
      <c r="H568" s="75">
        <f t="shared" si="106"/>
        <v>1000</v>
      </c>
      <c r="I568" s="75">
        <f t="shared" si="106"/>
        <v>2000</v>
      </c>
      <c r="J568" s="96">
        <f t="shared" si="106"/>
        <v>267</v>
      </c>
      <c r="K568" s="287">
        <f aca="true" t="shared" si="107" ref="K568:Q568">K570</f>
        <v>1267</v>
      </c>
      <c r="L568" s="287">
        <f t="shared" si="107"/>
        <v>-1167</v>
      </c>
      <c r="M568" s="287">
        <f t="shared" si="107"/>
        <v>1245.35</v>
      </c>
      <c r="N568" s="287">
        <f t="shared" si="107"/>
        <v>1345.35</v>
      </c>
      <c r="O568" s="287">
        <f t="shared" si="107"/>
        <v>-1069.5839999999998</v>
      </c>
      <c r="P568" s="287">
        <f t="shared" si="107"/>
        <v>-172.766</v>
      </c>
      <c r="Q568" s="449">
        <f t="shared" si="107"/>
        <v>203</v>
      </c>
      <c r="R568" s="449">
        <f>R570</f>
        <v>198.809</v>
      </c>
      <c r="S568" s="465">
        <f t="shared" si="99"/>
        <v>97.93546798029557</v>
      </c>
    </row>
    <row r="569" spans="1:19" ht="12.75" hidden="1">
      <c r="A569" s="46" t="s">
        <v>208</v>
      </c>
      <c r="B569" s="71" t="s">
        <v>202</v>
      </c>
      <c r="C569" s="76" t="s">
        <v>249</v>
      </c>
      <c r="D569" s="76" t="s">
        <v>198</v>
      </c>
      <c r="E569" s="76" t="s">
        <v>361</v>
      </c>
      <c r="F569" s="78" t="s">
        <v>209</v>
      </c>
      <c r="G569" s="89">
        <f t="shared" si="106"/>
        <v>1000</v>
      </c>
      <c r="H569" s="82">
        <f t="shared" si="106"/>
        <v>1000</v>
      </c>
      <c r="I569" s="82">
        <f t="shared" si="106"/>
        <v>2000</v>
      </c>
      <c r="J569" s="89">
        <f t="shared" si="106"/>
        <v>267</v>
      </c>
      <c r="K569" s="275">
        <f>K570</f>
        <v>1267</v>
      </c>
      <c r="L569" s="315"/>
      <c r="M569" s="82"/>
      <c r="N569" s="89"/>
      <c r="O569" s="89"/>
      <c r="P569" s="275"/>
      <c r="Q569" s="448"/>
      <c r="R569" s="448"/>
      <c r="S569" s="465" t="e">
        <f t="shared" si="99"/>
        <v>#DIV/0!</v>
      </c>
    </row>
    <row r="570" spans="1:19" ht="16.5" customHeight="1" thickBot="1">
      <c r="A570" s="181" t="s">
        <v>109</v>
      </c>
      <c r="B570" s="141" t="s">
        <v>202</v>
      </c>
      <c r="C570" s="76" t="s">
        <v>249</v>
      </c>
      <c r="D570" s="76" t="s">
        <v>198</v>
      </c>
      <c r="E570" s="76" t="s">
        <v>361</v>
      </c>
      <c r="F570" s="78" t="s">
        <v>106</v>
      </c>
      <c r="G570" s="89">
        <f>G571</f>
        <v>1000</v>
      </c>
      <c r="H570" s="82">
        <f>H571</f>
        <v>1000</v>
      </c>
      <c r="I570" s="82">
        <f>I571</f>
        <v>2000</v>
      </c>
      <c r="J570" s="89">
        <f>-900+1167</f>
        <v>267</v>
      </c>
      <c r="K570" s="275">
        <v>1267</v>
      </c>
      <c r="L570" s="315">
        <v>-1167</v>
      </c>
      <c r="M570" s="82">
        <v>1245.35</v>
      </c>
      <c r="N570" s="89">
        <f>K570+L570+M570</f>
        <v>1345.35</v>
      </c>
      <c r="O570" s="89">
        <f>-200-869.584</f>
        <v>-1069.5839999999998</v>
      </c>
      <c r="P570" s="275">
        <v>-172.766</v>
      </c>
      <c r="Q570" s="448">
        <v>203</v>
      </c>
      <c r="R570" s="448">
        <v>198.809</v>
      </c>
      <c r="S570" s="444">
        <f t="shared" si="99"/>
        <v>97.93546798029557</v>
      </c>
    </row>
    <row r="571" spans="1:19" ht="16.5" customHeight="1" hidden="1" thickBot="1">
      <c r="A571" s="29"/>
      <c r="B571" s="30"/>
      <c r="C571" s="79"/>
      <c r="D571" s="79"/>
      <c r="E571" s="79"/>
      <c r="F571" s="81" t="s">
        <v>235</v>
      </c>
      <c r="G571" s="205">
        <v>1000</v>
      </c>
      <c r="H571" s="134">
        <v>1000</v>
      </c>
      <c r="I571" s="134">
        <v>2000</v>
      </c>
      <c r="J571" s="205">
        <v>1000</v>
      </c>
      <c r="K571" s="174">
        <v>1000</v>
      </c>
      <c r="L571" s="315"/>
      <c r="M571" s="82"/>
      <c r="N571" s="89"/>
      <c r="O571" s="89"/>
      <c r="P571" s="275"/>
      <c r="Q571" s="448"/>
      <c r="R571" s="448"/>
      <c r="S571" s="444" t="e">
        <f t="shared" si="99"/>
        <v>#DIV/0!</v>
      </c>
    </row>
    <row r="572" spans="1:19" ht="27.75" customHeight="1" hidden="1" thickBot="1">
      <c r="A572" s="46" t="s">
        <v>158</v>
      </c>
      <c r="B572" s="71" t="s">
        <v>202</v>
      </c>
      <c r="C572" s="72" t="s">
        <v>249</v>
      </c>
      <c r="D572" s="72" t="s">
        <v>198</v>
      </c>
      <c r="E572" s="72" t="s">
        <v>357</v>
      </c>
      <c r="F572" s="74"/>
      <c r="G572" s="89">
        <f>G573</f>
        <v>1000</v>
      </c>
      <c r="H572" s="82">
        <f>H573</f>
        <v>0</v>
      </c>
      <c r="I572" s="82">
        <f>I573</f>
        <v>0</v>
      </c>
      <c r="J572" s="89">
        <f>J573</f>
        <v>-1000</v>
      </c>
      <c r="K572" s="275">
        <f>K573</f>
        <v>0</v>
      </c>
      <c r="L572" s="315"/>
      <c r="M572" s="82"/>
      <c r="N572" s="89"/>
      <c r="O572" s="89"/>
      <c r="P572" s="275"/>
      <c r="Q572" s="448"/>
      <c r="R572" s="448"/>
      <c r="S572" s="444" t="e">
        <f t="shared" si="99"/>
        <v>#DIV/0!</v>
      </c>
    </row>
    <row r="573" spans="1:19" ht="17.25" customHeight="1" hidden="1" thickBot="1">
      <c r="A573" s="192" t="s">
        <v>109</v>
      </c>
      <c r="B573" s="161" t="s">
        <v>202</v>
      </c>
      <c r="C573" s="100" t="s">
        <v>249</v>
      </c>
      <c r="D573" s="100" t="s">
        <v>198</v>
      </c>
      <c r="E573" s="100" t="s">
        <v>357</v>
      </c>
      <c r="F573" s="101" t="s">
        <v>106</v>
      </c>
      <c r="G573" s="206">
        <v>1000</v>
      </c>
      <c r="H573" s="143"/>
      <c r="I573" s="143"/>
      <c r="J573" s="206">
        <v>-1000</v>
      </c>
      <c r="K573" s="273">
        <f>G573+J573</f>
        <v>0</v>
      </c>
      <c r="L573" s="315"/>
      <c r="M573" s="82"/>
      <c r="N573" s="89"/>
      <c r="O573" s="89"/>
      <c r="P573" s="275"/>
      <c r="Q573" s="460"/>
      <c r="R573" s="460"/>
      <c r="S573" s="491" t="e">
        <f t="shared" si="99"/>
        <v>#DIV/0!</v>
      </c>
    </row>
    <row r="574" spans="1:19" ht="22.5" customHeight="1" thickBot="1">
      <c r="A574" s="17" t="s">
        <v>362</v>
      </c>
      <c r="B574" s="18" t="s">
        <v>201</v>
      </c>
      <c r="C574" s="19" t="s">
        <v>249</v>
      </c>
      <c r="D574" s="19" t="s">
        <v>203</v>
      </c>
      <c r="E574" s="19"/>
      <c r="F574" s="21"/>
      <c r="G574" s="199">
        <f aca="true" t="shared" si="108" ref="G574:N574">G614+G612</f>
        <v>4000</v>
      </c>
      <c r="H574" s="199">
        <f t="shared" si="108"/>
        <v>4000</v>
      </c>
      <c r="I574" s="199">
        <f t="shared" si="108"/>
        <v>4000</v>
      </c>
      <c r="J574" s="199">
        <f t="shared" si="108"/>
        <v>582.093</v>
      </c>
      <c r="K574" s="285">
        <f t="shared" si="108"/>
        <v>4582.093</v>
      </c>
      <c r="L574" s="285">
        <f t="shared" si="108"/>
        <v>-1126.003</v>
      </c>
      <c r="M574" s="285">
        <f t="shared" si="108"/>
        <v>873.75</v>
      </c>
      <c r="N574" s="285">
        <f t="shared" si="108"/>
        <v>4329.84</v>
      </c>
      <c r="O574" s="285">
        <f>O614+O612</f>
        <v>-2316</v>
      </c>
      <c r="P574" s="285">
        <f>P614+P612</f>
        <v>960</v>
      </c>
      <c r="Q574" s="492">
        <f>Q614+Q612</f>
        <v>2699.84</v>
      </c>
      <c r="R574" s="493">
        <f>R614+R612</f>
        <v>2652.26704</v>
      </c>
      <c r="S574" s="494">
        <f t="shared" si="99"/>
        <v>98.23793409979851</v>
      </c>
    </row>
    <row r="575" spans="1:19" ht="2.25" customHeight="1" hidden="1">
      <c r="A575" s="109" t="s">
        <v>257</v>
      </c>
      <c r="B575" s="99" t="s">
        <v>202</v>
      </c>
      <c r="C575" s="112" t="s">
        <v>249</v>
      </c>
      <c r="D575" s="112" t="s">
        <v>203</v>
      </c>
      <c r="E575" s="112" t="s">
        <v>258</v>
      </c>
      <c r="F575" s="104" t="s">
        <v>201</v>
      </c>
      <c r="G575" s="232">
        <f aca="true" t="shared" si="109" ref="G575:K579">G576</f>
        <v>0</v>
      </c>
      <c r="H575" s="233">
        <f t="shared" si="109"/>
        <v>0</v>
      </c>
      <c r="I575" s="233">
        <f t="shared" si="109"/>
        <v>0</v>
      </c>
      <c r="J575" s="232">
        <f t="shared" si="109"/>
        <v>0</v>
      </c>
      <c r="K575" s="296">
        <f t="shared" si="109"/>
        <v>0</v>
      </c>
      <c r="L575" s="318"/>
      <c r="M575" s="235"/>
      <c r="N575" s="234"/>
      <c r="O575" s="234"/>
      <c r="P575" s="298"/>
      <c r="Q575" s="480"/>
      <c r="R575" s="480"/>
      <c r="S575" s="470" t="e">
        <f t="shared" si="99"/>
        <v>#DIV/0!</v>
      </c>
    </row>
    <row r="576" spans="1:19" ht="18.75" customHeight="1" hidden="1">
      <c r="A576" s="46" t="s">
        <v>363</v>
      </c>
      <c r="B576" s="71" t="s">
        <v>202</v>
      </c>
      <c r="C576" s="76" t="s">
        <v>249</v>
      </c>
      <c r="D576" s="76" t="s">
        <v>203</v>
      </c>
      <c r="E576" s="76" t="s">
        <v>364</v>
      </c>
      <c r="F576" s="78" t="s">
        <v>201</v>
      </c>
      <c r="G576" s="234">
        <f t="shared" si="109"/>
        <v>0</v>
      </c>
      <c r="H576" s="235">
        <f t="shared" si="109"/>
        <v>0</v>
      </c>
      <c r="I576" s="235">
        <f t="shared" si="109"/>
        <v>0</v>
      </c>
      <c r="J576" s="234">
        <f t="shared" si="109"/>
        <v>0</v>
      </c>
      <c r="K576" s="298">
        <f t="shared" si="109"/>
        <v>0</v>
      </c>
      <c r="L576" s="318"/>
      <c r="M576" s="235"/>
      <c r="N576" s="234"/>
      <c r="O576" s="234"/>
      <c r="P576" s="298"/>
      <c r="Q576" s="449"/>
      <c r="R576" s="449"/>
      <c r="S576" s="459" t="e">
        <f t="shared" si="99"/>
        <v>#DIV/0!</v>
      </c>
    </row>
    <row r="577" spans="1:19" ht="16.5" hidden="1" thickBot="1">
      <c r="A577" s="46" t="s">
        <v>208</v>
      </c>
      <c r="B577" s="71" t="s">
        <v>202</v>
      </c>
      <c r="C577" s="76" t="s">
        <v>249</v>
      </c>
      <c r="D577" s="76" t="s">
        <v>203</v>
      </c>
      <c r="E577" s="76" t="s">
        <v>364</v>
      </c>
      <c r="F577" s="78" t="s">
        <v>209</v>
      </c>
      <c r="G577" s="234">
        <f t="shared" si="109"/>
        <v>0</v>
      </c>
      <c r="H577" s="235">
        <f t="shared" si="109"/>
        <v>0</v>
      </c>
      <c r="I577" s="235">
        <f t="shared" si="109"/>
        <v>0</v>
      </c>
      <c r="J577" s="234">
        <f t="shared" si="109"/>
        <v>0</v>
      </c>
      <c r="K577" s="298">
        <f t="shared" si="109"/>
        <v>0</v>
      </c>
      <c r="L577" s="318"/>
      <c r="M577" s="235"/>
      <c r="N577" s="234"/>
      <c r="O577" s="234"/>
      <c r="P577" s="298"/>
      <c r="Q577" s="449"/>
      <c r="R577" s="449"/>
      <c r="S577" s="459" t="e">
        <f t="shared" si="99"/>
        <v>#DIV/0!</v>
      </c>
    </row>
    <row r="578" spans="1:19" ht="16.5" hidden="1" thickBot="1">
      <c r="A578" s="45" t="s">
        <v>210</v>
      </c>
      <c r="B578" s="71" t="s">
        <v>202</v>
      </c>
      <c r="C578" s="76" t="s">
        <v>249</v>
      </c>
      <c r="D578" s="76" t="s">
        <v>203</v>
      </c>
      <c r="E578" s="76" t="s">
        <v>365</v>
      </c>
      <c r="F578" s="78" t="s">
        <v>209</v>
      </c>
      <c r="G578" s="234">
        <f t="shared" si="109"/>
        <v>0</v>
      </c>
      <c r="H578" s="235">
        <f t="shared" si="109"/>
        <v>0</v>
      </c>
      <c r="I578" s="235">
        <f t="shared" si="109"/>
        <v>0</v>
      </c>
      <c r="J578" s="234">
        <f t="shared" si="109"/>
        <v>0</v>
      </c>
      <c r="K578" s="298">
        <f t="shared" si="109"/>
        <v>0</v>
      </c>
      <c r="L578" s="318"/>
      <c r="M578" s="235"/>
      <c r="N578" s="234"/>
      <c r="O578" s="234"/>
      <c r="P578" s="298"/>
      <c r="Q578" s="449"/>
      <c r="R578" s="449"/>
      <c r="S578" s="459" t="e">
        <f t="shared" si="99"/>
        <v>#DIV/0!</v>
      </c>
    </row>
    <row r="579" spans="1:19" ht="16.5" hidden="1" thickBot="1">
      <c r="A579" s="39" t="s">
        <v>307</v>
      </c>
      <c r="B579" s="71" t="s">
        <v>202</v>
      </c>
      <c r="C579" s="76" t="s">
        <v>249</v>
      </c>
      <c r="D579" s="76" t="s">
        <v>203</v>
      </c>
      <c r="E579" s="76" t="s">
        <v>365</v>
      </c>
      <c r="F579" s="78" t="s">
        <v>209</v>
      </c>
      <c r="G579" s="234">
        <f t="shared" si="109"/>
        <v>0</v>
      </c>
      <c r="H579" s="235">
        <f t="shared" si="109"/>
        <v>0</v>
      </c>
      <c r="I579" s="235">
        <f t="shared" si="109"/>
        <v>0</v>
      </c>
      <c r="J579" s="234">
        <f t="shared" si="109"/>
        <v>0</v>
      </c>
      <c r="K579" s="298">
        <f t="shared" si="109"/>
        <v>0</v>
      </c>
      <c r="L579" s="318"/>
      <c r="M579" s="235"/>
      <c r="N579" s="234"/>
      <c r="O579" s="234"/>
      <c r="P579" s="298"/>
      <c r="Q579" s="449"/>
      <c r="R579" s="449"/>
      <c r="S579" s="459" t="e">
        <f t="shared" si="99"/>
        <v>#DIV/0!</v>
      </c>
    </row>
    <row r="580" spans="1:19" ht="16.5" hidden="1" thickBot="1">
      <c r="A580" s="45" t="s">
        <v>315</v>
      </c>
      <c r="B580" s="71" t="s">
        <v>202</v>
      </c>
      <c r="C580" s="76" t="s">
        <v>249</v>
      </c>
      <c r="D580" s="76" t="s">
        <v>203</v>
      </c>
      <c r="E580" s="76" t="s">
        <v>364</v>
      </c>
      <c r="F580" s="78" t="s">
        <v>209</v>
      </c>
      <c r="G580" s="234"/>
      <c r="H580" s="235"/>
      <c r="I580" s="235"/>
      <c r="J580" s="234"/>
      <c r="K580" s="298"/>
      <c r="L580" s="318"/>
      <c r="M580" s="235"/>
      <c r="N580" s="234"/>
      <c r="O580" s="234"/>
      <c r="P580" s="298"/>
      <c r="Q580" s="449"/>
      <c r="R580" s="449"/>
      <c r="S580" s="459" t="e">
        <f t="shared" si="99"/>
        <v>#DIV/0!</v>
      </c>
    </row>
    <row r="581" spans="1:19" ht="3.75" customHeight="1" hidden="1">
      <c r="A581" s="46" t="s">
        <v>366</v>
      </c>
      <c r="B581" s="71" t="s">
        <v>202</v>
      </c>
      <c r="C581" s="72" t="s">
        <v>249</v>
      </c>
      <c r="D581" s="72" t="s">
        <v>203</v>
      </c>
      <c r="E581" s="72" t="s">
        <v>367</v>
      </c>
      <c r="F581" s="74" t="s">
        <v>201</v>
      </c>
      <c r="G581" s="234">
        <f>G582+G588</f>
        <v>0</v>
      </c>
      <c r="H581" s="235">
        <f>H582+H588</f>
        <v>0</v>
      </c>
      <c r="I581" s="235">
        <f>I582+I588</f>
        <v>0</v>
      </c>
      <c r="J581" s="234">
        <f>J582+J588</f>
        <v>0</v>
      </c>
      <c r="K581" s="298">
        <f>K582+K588</f>
        <v>0</v>
      </c>
      <c r="L581" s="318"/>
      <c r="M581" s="235"/>
      <c r="N581" s="234"/>
      <c r="O581" s="234"/>
      <c r="P581" s="298"/>
      <c r="Q581" s="449"/>
      <c r="R581" s="449"/>
      <c r="S581" s="459" t="e">
        <f t="shared" si="99"/>
        <v>#DIV/0!</v>
      </c>
    </row>
    <row r="582" spans="1:19" ht="39" hidden="1" thickBot="1">
      <c r="A582" s="46" t="s">
        <v>368</v>
      </c>
      <c r="B582" s="71" t="s">
        <v>202</v>
      </c>
      <c r="C582" s="72" t="s">
        <v>249</v>
      </c>
      <c r="D582" s="72" t="s">
        <v>203</v>
      </c>
      <c r="E582" s="72" t="s">
        <v>369</v>
      </c>
      <c r="F582" s="74" t="s">
        <v>201</v>
      </c>
      <c r="G582" s="234">
        <f aca="true" t="shared" si="110" ref="G582:K584">G583</f>
        <v>0</v>
      </c>
      <c r="H582" s="235">
        <f t="shared" si="110"/>
        <v>0</v>
      </c>
      <c r="I582" s="235">
        <f t="shared" si="110"/>
        <v>0</v>
      </c>
      <c r="J582" s="234">
        <f t="shared" si="110"/>
        <v>0</v>
      </c>
      <c r="K582" s="298">
        <f t="shared" si="110"/>
        <v>0</v>
      </c>
      <c r="L582" s="318"/>
      <c r="M582" s="235"/>
      <c r="N582" s="234"/>
      <c r="O582" s="234"/>
      <c r="P582" s="298"/>
      <c r="Q582" s="449"/>
      <c r="R582" s="449"/>
      <c r="S582" s="459" t="e">
        <f t="shared" si="99"/>
        <v>#DIV/0!</v>
      </c>
    </row>
    <row r="583" spans="1:19" ht="16.5" hidden="1" thickBot="1">
      <c r="A583" s="46" t="s">
        <v>336</v>
      </c>
      <c r="B583" s="71" t="s">
        <v>202</v>
      </c>
      <c r="C583" s="76" t="s">
        <v>249</v>
      </c>
      <c r="D583" s="76" t="s">
        <v>203</v>
      </c>
      <c r="E583" s="76" t="s">
        <v>369</v>
      </c>
      <c r="F583" s="78" t="s">
        <v>337</v>
      </c>
      <c r="G583" s="234">
        <f t="shared" si="110"/>
        <v>0</v>
      </c>
      <c r="H583" s="235">
        <f t="shared" si="110"/>
        <v>0</v>
      </c>
      <c r="I583" s="235">
        <f t="shared" si="110"/>
        <v>0</v>
      </c>
      <c r="J583" s="234">
        <f t="shared" si="110"/>
        <v>0</v>
      </c>
      <c r="K583" s="298">
        <f t="shared" si="110"/>
        <v>0</v>
      </c>
      <c r="L583" s="318"/>
      <c r="M583" s="235"/>
      <c r="N583" s="234"/>
      <c r="O583" s="234"/>
      <c r="P583" s="298"/>
      <c r="Q583" s="449"/>
      <c r="R583" s="449"/>
      <c r="S583" s="459" t="e">
        <f t="shared" si="99"/>
        <v>#DIV/0!</v>
      </c>
    </row>
    <row r="584" spans="1:19" ht="16.5" hidden="1" thickBot="1">
      <c r="A584" s="45" t="s">
        <v>210</v>
      </c>
      <c r="B584" s="71" t="s">
        <v>202</v>
      </c>
      <c r="C584" s="76" t="s">
        <v>249</v>
      </c>
      <c r="D584" s="76" t="s">
        <v>203</v>
      </c>
      <c r="E584" s="76" t="s">
        <v>369</v>
      </c>
      <c r="F584" s="78" t="s">
        <v>337</v>
      </c>
      <c r="G584" s="234">
        <f t="shared" si="110"/>
        <v>0</v>
      </c>
      <c r="H584" s="235">
        <f t="shared" si="110"/>
        <v>0</v>
      </c>
      <c r="I584" s="235">
        <f t="shared" si="110"/>
        <v>0</v>
      </c>
      <c r="J584" s="234">
        <f t="shared" si="110"/>
        <v>0</v>
      </c>
      <c r="K584" s="298">
        <f t="shared" si="110"/>
        <v>0</v>
      </c>
      <c r="L584" s="318"/>
      <c r="M584" s="235"/>
      <c r="N584" s="234"/>
      <c r="O584" s="234"/>
      <c r="P584" s="298"/>
      <c r="Q584" s="449"/>
      <c r="R584" s="449"/>
      <c r="S584" s="459" t="e">
        <f t="shared" si="99"/>
        <v>#DIV/0!</v>
      </c>
    </row>
    <row r="585" spans="1:19" ht="15.75" customHeight="1" hidden="1">
      <c r="A585" s="46" t="s">
        <v>370</v>
      </c>
      <c r="B585" s="71" t="s">
        <v>202</v>
      </c>
      <c r="C585" s="76" t="s">
        <v>249</v>
      </c>
      <c r="D585" s="76" t="s">
        <v>203</v>
      </c>
      <c r="E585" s="76" t="s">
        <v>369</v>
      </c>
      <c r="F585" s="78" t="s">
        <v>337</v>
      </c>
      <c r="G585" s="234">
        <f>G586+G587</f>
        <v>0</v>
      </c>
      <c r="H585" s="235">
        <f>H586+H587</f>
        <v>0</v>
      </c>
      <c r="I585" s="235">
        <f>I586+I587</f>
        <v>0</v>
      </c>
      <c r="J585" s="234">
        <f>J586+J587</f>
        <v>0</v>
      </c>
      <c r="K585" s="298">
        <f>K586+K587</f>
        <v>0</v>
      </c>
      <c r="L585" s="318"/>
      <c r="M585" s="235"/>
      <c r="N585" s="234"/>
      <c r="O585" s="234"/>
      <c r="P585" s="298"/>
      <c r="Q585" s="449"/>
      <c r="R585" s="449"/>
      <c r="S585" s="459" t="e">
        <f t="shared" si="99"/>
        <v>#DIV/0!</v>
      </c>
    </row>
    <row r="586" spans="1:19" ht="35.25" customHeight="1" hidden="1">
      <c r="A586" s="46" t="s">
        <v>371</v>
      </c>
      <c r="B586" s="71" t="s">
        <v>202</v>
      </c>
      <c r="C586" s="76" t="s">
        <v>249</v>
      </c>
      <c r="D586" s="76" t="s">
        <v>203</v>
      </c>
      <c r="E586" s="76" t="s">
        <v>369</v>
      </c>
      <c r="F586" s="78" t="s">
        <v>337</v>
      </c>
      <c r="G586" s="234">
        <v>0</v>
      </c>
      <c r="H586" s="235">
        <v>0</v>
      </c>
      <c r="I586" s="235">
        <v>0</v>
      </c>
      <c r="J586" s="234">
        <v>0</v>
      </c>
      <c r="K586" s="298">
        <v>0</v>
      </c>
      <c r="L586" s="318"/>
      <c r="M586" s="235"/>
      <c r="N586" s="234"/>
      <c r="O586" s="234"/>
      <c r="P586" s="298"/>
      <c r="Q586" s="449"/>
      <c r="R586" s="449"/>
      <c r="S586" s="459" t="e">
        <f t="shared" si="99"/>
        <v>#DIV/0!</v>
      </c>
    </row>
    <row r="587" spans="1:19" ht="39" hidden="1" thickBot="1">
      <c r="A587" s="46" t="s">
        <v>136</v>
      </c>
      <c r="B587" s="71" t="s">
        <v>202</v>
      </c>
      <c r="C587" s="76" t="s">
        <v>249</v>
      </c>
      <c r="D587" s="76" t="s">
        <v>203</v>
      </c>
      <c r="E587" s="76" t="s">
        <v>369</v>
      </c>
      <c r="F587" s="78" t="s">
        <v>337</v>
      </c>
      <c r="G587" s="234"/>
      <c r="H587" s="235"/>
      <c r="I587" s="235"/>
      <c r="J587" s="234"/>
      <c r="K587" s="298"/>
      <c r="L587" s="318"/>
      <c r="M587" s="235"/>
      <c r="N587" s="234"/>
      <c r="O587" s="234"/>
      <c r="P587" s="298"/>
      <c r="Q587" s="449"/>
      <c r="R587" s="449"/>
      <c r="S587" s="459" t="e">
        <f t="shared" si="99"/>
        <v>#DIV/0!</v>
      </c>
    </row>
    <row r="588" spans="1:19" ht="6" customHeight="1" hidden="1">
      <c r="A588" s="46" t="s">
        <v>372</v>
      </c>
      <c r="B588" s="71" t="s">
        <v>202</v>
      </c>
      <c r="C588" s="72" t="s">
        <v>249</v>
      </c>
      <c r="D588" s="72" t="s">
        <v>203</v>
      </c>
      <c r="E588" s="72" t="s">
        <v>373</v>
      </c>
      <c r="F588" s="74" t="s">
        <v>201</v>
      </c>
      <c r="G588" s="234">
        <f>G589</f>
        <v>0</v>
      </c>
      <c r="H588" s="235">
        <f>H589</f>
        <v>0</v>
      </c>
      <c r="I588" s="235">
        <f>I589</f>
        <v>0</v>
      </c>
      <c r="J588" s="234">
        <f>J589</f>
        <v>0</v>
      </c>
      <c r="K588" s="298">
        <f>K589</f>
        <v>0</v>
      </c>
      <c r="L588" s="318"/>
      <c r="M588" s="235"/>
      <c r="N588" s="234"/>
      <c r="O588" s="234"/>
      <c r="P588" s="298"/>
      <c r="Q588" s="449"/>
      <c r="R588" s="449"/>
      <c r="S588" s="459" t="e">
        <f t="shared" si="99"/>
        <v>#DIV/0!</v>
      </c>
    </row>
    <row r="589" spans="1:19" ht="16.5" hidden="1" thickBot="1">
      <c r="A589" s="45" t="s">
        <v>208</v>
      </c>
      <c r="B589" s="71" t="s">
        <v>202</v>
      </c>
      <c r="C589" s="76" t="s">
        <v>249</v>
      </c>
      <c r="D589" s="76" t="s">
        <v>203</v>
      </c>
      <c r="E589" s="76" t="s">
        <v>373</v>
      </c>
      <c r="F589" s="78" t="s">
        <v>209</v>
      </c>
      <c r="G589" s="234">
        <f>G590+G593</f>
        <v>0</v>
      </c>
      <c r="H589" s="235">
        <f>H590+H593</f>
        <v>0</v>
      </c>
      <c r="I589" s="235">
        <f>I590+I593</f>
        <v>0</v>
      </c>
      <c r="J589" s="234">
        <f>J590+J593</f>
        <v>0</v>
      </c>
      <c r="K589" s="298">
        <f>K590+K593</f>
        <v>0</v>
      </c>
      <c r="L589" s="318"/>
      <c r="M589" s="235"/>
      <c r="N589" s="234"/>
      <c r="O589" s="234"/>
      <c r="P589" s="298"/>
      <c r="Q589" s="449"/>
      <c r="R589" s="449"/>
      <c r="S589" s="459" t="e">
        <f t="shared" si="99"/>
        <v>#DIV/0!</v>
      </c>
    </row>
    <row r="590" spans="1:19" ht="16.5" hidden="1" thickBot="1">
      <c r="A590" s="45" t="s">
        <v>210</v>
      </c>
      <c r="B590" s="71" t="s">
        <v>202</v>
      </c>
      <c r="C590" s="76" t="s">
        <v>249</v>
      </c>
      <c r="D590" s="76" t="s">
        <v>203</v>
      </c>
      <c r="E590" s="76" t="s">
        <v>373</v>
      </c>
      <c r="F590" s="78" t="s">
        <v>209</v>
      </c>
      <c r="G590" s="234">
        <f aca="true" t="shared" si="111" ref="G590:K591">G591</f>
        <v>0</v>
      </c>
      <c r="H590" s="235">
        <f t="shared" si="111"/>
        <v>0</v>
      </c>
      <c r="I590" s="235">
        <f t="shared" si="111"/>
        <v>0</v>
      </c>
      <c r="J590" s="234">
        <f t="shared" si="111"/>
        <v>0</v>
      </c>
      <c r="K590" s="298">
        <f t="shared" si="111"/>
        <v>0</v>
      </c>
      <c r="L590" s="318"/>
      <c r="M590" s="235"/>
      <c r="N590" s="234"/>
      <c r="O590" s="234"/>
      <c r="P590" s="298"/>
      <c r="Q590" s="449"/>
      <c r="R590" s="449"/>
      <c r="S590" s="459" t="e">
        <f t="shared" si="99"/>
        <v>#DIV/0!</v>
      </c>
    </row>
    <row r="591" spans="1:19" ht="16.5" hidden="1" thickBot="1">
      <c r="A591" s="45" t="s">
        <v>307</v>
      </c>
      <c r="B591" s="71" t="s">
        <v>202</v>
      </c>
      <c r="C591" s="76" t="s">
        <v>249</v>
      </c>
      <c r="D591" s="76" t="s">
        <v>203</v>
      </c>
      <c r="E591" s="76" t="s">
        <v>373</v>
      </c>
      <c r="F591" s="78" t="s">
        <v>209</v>
      </c>
      <c r="G591" s="234">
        <f t="shared" si="111"/>
        <v>0</v>
      </c>
      <c r="H591" s="235">
        <f t="shared" si="111"/>
        <v>0</v>
      </c>
      <c r="I591" s="235">
        <f t="shared" si="111"/>
        <v>0</v>
      </c>
      <c r="J591" s="234">
        <f t="shared" si="111"/>
        <v>0</v>
      </c>
      <c r="K591" s="298">
        <f t="shared" si="111"/>
        <v>0</v>
      </c>
      <c r="L591" s="318"/>
      <c r="M591" s="235"/>
      <c r="N591" s="234"/>
      <c r="O591" s="234"/>
      <c r="P591" s="298"/>
      <c r="Q591" s="449"/>
      <c r="R591" s="449"/>
      <c r="S591" s="459" t="e">
        <f aca="true" t="shared" si="112" ref="S591:S654">R591/Q591*100</f>
        <v>#DIV/0!</v>
      </c>
    </row>
    <row r="592" spans="1:19" ht="16.5" hidden="1" thickBot="1">
      <c r="A592" s="45" t="s">
        <v>315</v>
      </c>
      <c r="B592" s="71" t="s">
        <v>202</v>
      </c>
      <c r="C592" s="76" t="s">
        <v>249</v>
      </c>
      <c r="D592" s="76" t="s">
        <v>203</v>
      </c>
      <c r="E592" s="76" t="s">
        <v>373</v>
      </c>
      <c r="F592" s="78" t="s">
        <v>209</v>
      </c>
      <c r="G592" s="234"/>
      <c r="H592" s="235"/>
      <c r="I592" s="235"/>
      <c r="J592" s="234"/>
      <c r="K592" s="298"/>
      <c r="L592" s="318"/>
      <c r="M592" s="235"/>
      <c r="N592" s="234"/>
      <c r="O592" s="234"/>
      <c r="P592" s="298"/>
      <c r="Q592" s="449"/>
      <c r="R592" s="449"/>
      <c r="S592" s="459" t="e">
        <f t="shared" si="112"/>
        <v>#DIV/0!</v>
      </c>
    </row>
    <row r="593" spans="1:19" ht="16.5" hidden="1" thickBot="1">
      <c r="A593" s="46" t="s">
        <v>228</v>
      </c>
      <c r="B593" s="71" t="s">
        <v>202</v>
      </c>
      <c r="C593" s="76" t="s">
        <v>249</v>
      </c>
      <c r="D593" s="76" t="s">
        <v>203</v>
      </c>
      <c r="E593" s="76" t="s">
        <v>373</v>
      </c>
      <c r="F593" s="78" t="s">
        <v>209</v>
      </c>
      <c r="G593" s="234">
        <f>G594</f>
        <v>0</v>
      </c>
      <c r="H593" s="235">
        <f>H594</f>
        <v>0</v>
      </c>
      <c r="I593" s="235">
        <f>I594</f>
        <v>0</v>
      </c>
      <c r="J593" s="234">
        <f>J594</f>
        <v>0</v>
      </c>
      <c r="K593" s="298">
        <f>K594</f>
        <v>0</v>
      </c>
      <c r="L593" s="318"/>
      <c r="M593" s="235"/>
      <c r="N593" s="234"/>
      <c r="O593" s="234"/>
      <c r="P593" s="298"/>
      <c r="Q593" s="449"/>
      <c r="R593" s="449"/>
      <c r="S593" s="459" t="e">
        <f t="shared" si="112"/>
        <v>#DIV/0!</v>
      </c>
    </row>
    <row r="594" spans="1:19" ht="16.5" hidden="1" thickBot="1">
      <c r="A594" s="39" t="s">
        <v>229</v>
      </c>
      <c r="B594" s="71" t="s">
        <v>202</v>
      </c>
      <c r="C594" s="76" t="s">
        <v>249</v>
      </c>
      <c r="D594" s="76" t="s">
        <v>203</v>
      </c>
      <c r="E594" s="76" t="s">
        <v>373</v>
      </c>
      <c r="F594" s="78" t="s">
        <v>209</v>
      </c>
      <c r="G594" s="234"/>
      <c r="H594" s="235"/>
      <c r="I594" s="235"/>
      <c r="J594" s="234"/>
      <c r="K594" s="298"/>
      <c r="L594" s="318"/>
      <c r="M594" s="235"/>
      <c r="N594" s="234"/>
      <c r="O594" s="234"/>
      <c r="P594" s="298"/>
      <c r="Q594" s="449"/>
      <c r="R594" s="449"/>
      <c r="S594" s="459" t="e">
        <f t="shared" si="112"/>
        <v>#DIV/0!</v>
      </c>
    </row>
    <row r="595" spans="1:19" ht="22.5" customHeight="1" hidden="1">
      <c r="A595" s="45" t="s">
        <v>374</v>
      </c>
      <c r="B595" s="71" t="s">
        <v>202</v>
      </c>
      <c r="C595" s="72" t="s">
        <v>249</v>
      </c>
      <c r="D595" s="72" t="s">
        <v>203</v>
      </c>
      <c r="E595" s="72" t="s">
        <v>375</v>
      </c>
      <c r="F595" s="74" t="s">
        <v>201</v>
      </c>
      <c r="G595" s="234">
        <f aca="true" t="shared" si="113" ref="G595:K599">G596</f>
        <v>0</v>
      </c>
      <c r="H595" s="235">
        <f t="shared" si="113"/>
        <v>0</v>
      </c>
      <c r="I595" s="235">
        <f t="shared" si="113"/>
        <v>0</v>
      </c>
      <c r="J595" s="234">
        <f t="shared" si="113"/>
        <v>0</v>
      </c>
      <c r="K595" s="298">
        <f t="shared" si="113"/>
        <v>0</v>
      </c>
      <c r="L595" s="318"/>
      <c r="M595" s="235"/>
      <c r="N595" s="234"/>
      <c r="O595" s="234"/>
      <c r="P595" s="298"/>
      <c r="Q595" s="449"/>
      <c r="R595" s="449"/>
      <c r="S595" s="459" t="e">
        <f t="shared" si="112"/>
        <v>#DIV/0!</v>
      </c>
    </row>
    <row r="596" spans="1:19" ht="39" hidden="1" thickBot="1">
      <c r="A596" s="46" t="s">
        <v>376</v>
      </c>
      <c r="B596" s="71" t="s">
        <v>202</v>
      </c>
      <c r="C596" s="76" t="s">
        <v>249</v>
      </c>
      <c r="D596" s="76" t="s">
        <v>203</v>
      </c>
      <c r="E596" s="76" t="s">
        <v>377</v>
      </c>
      <c r="F596" s="78" t="s">
        <v>201</v>
      </c>
      <c r="G596" s="234">
        <f t="shared" si="113"/>
        <v>0</v>
      </c>
      <c r="H596" s="235">
        <f t="shared" si="113"/>
        <v>0</v>
      </c>
      <c r="I596" s="235">
        <f t="shared" si="113"/>
        <v>0</v>
      </c>
      <c r="J596" s="234">
        <f t="shared" si="113"/>
        <v>0</v>
      </c>
      <c r="K596" s="298">
        <f t="shared" si="113"/>
        <v>0</v>
      </c>
      <c r="L596" s="318"/>
      <c r="M596" s="235"/>
      <c r="N596" s="234"/>
      <c r="O596" s="234"/>
      <c r="P596" s="298"/>
      <c r="Q596" s="449"/>
      <c r="R596" s="449"/>
      <c r="S596" s="459" t="e">
        <f t="shared" si="112"/>
        <v>#DIV/0!</v>
      </c>
    </row>
    <row r="597" spans="1:19" ht="16.5" hidden="1" thickBot="1">
      <c r="A597" s="46" t="s">
        <v>336</v>
      </c>
      <c r="B597" s="71" t="s">
        <v>202</v>
      </c>
      <c r="C597" s="76" t="s">
        <v>249</v>
      </c>
      <c r="D597" s="76" t="s">
        <v>203</v>
      </c>
      <c r="E597" s="76" t="s">
        <v>377</v>
      </c>
      <c r="F597" s="78" t="s">
        <v>337</v>
      </c>
      <c r="G597" s="234">
        <f t="shared" si="113"/>
        <v>0</v>
      </c>
      <c r="H597" s="235">
        <f t="shared" si="113"/>
        <v>0</v>
      </c>
      <c r="I597" s="235">
        <f t="shared" si="113"/>
        <v>0</v>
      </c>
      <c r="J597" s="234">
        <f t="shared" si="113"/>
        <v>0</v>
      </c>
      <c r="K597" s="298">
        <f t="shared" si="113"/>
        <v>0</v>
      </c>
      <c r="L597" s="318"/>
      <c r="M597" s="235"/>
      <c r="N597" s="234"/>
      <c r="O597" s="234"/>
      <c r="P597" s="298"/>
      <c r="Q597" s="449"/>
      <c r="R597" s="449"/>
      <c r="S597" s="459" t="e">
        <f t="shared" si="112"/>
        <v>#DIV/0!</v>
      </c>
    </row>
    <row r="598" spans="1:19" ht="16.5" hidden="1" thickBot="1">
      <c r="A598" s="45" t="s">
        <v>210</v>
      </c>
      <c r="B598" s="71" t="s">
        <v>202</v>
      </c>
      <c r="C598" s="76" t="s">
        <v>249</v>
      </c>
      <c r="D598" s="76" t="s">
        <v>203</v>
      </c>
      <c r="E598" s="76" t="s">
        <v>377</v>
      </c>
      <c r="F598" s="78" t="s">
        <v>337</v>
      </c>
      <c r="G598" s="234">
        <f t="shared" si="113"/>
        <v>0</v>
      </c>
      <c r="H598" s="235">
        <f t="shared" si="113"/>
        <v>0</v>
      </c>
      <c r="I598" s="235">
        <f t="shared" si="113"/>
        <v>0</v>
      </c>
      <c r="J598" s="234">
        <f t="shared" si="113"/>
        <v>0</v>
      </c>
      <c r="K598" s="298">
        <f t="shared" si="113"/>
        <v>0</v>
      </c>
      <c r="L598" s="318"/>
      <c r="M598" s="235"/>
      <c r="N598" s="234"/>
      <c r="O598" s="234"/>
      <c r="P598" s="298"/>
      <c r="Q598" s="449"/>
      <c r="R598" s="449"/>
      <c r="S598" s="459" t="e">
        <f t="shared" si="112"/>
        <v>#DIV/0!</v>
      </c>
    </row>
    <row r="599" spans="1:19" ht="13.5" customHeight="1" hidden="1">
      <c r="A599" s="46" t="s">
        <v>370</v>
      </c>
      <c r="B599" s="71" t="s">
        <v>202</v>
      </c>
      <c r="C599" s="76" t="s">
        <v>249</v>
      </c>
      <c r="D599" s="76" t="s">
        <v>203</v>
      </c>
      <c r="E599" s="76" t="s">
        <v>377</v>
      </c>
      <c r="F599" s="78" t="s">
        <v>337</v>
      </c>
      <c r="G599" s="234">
        <f t="shared" si="113"/>
        <v>0</v>
      </c>
      <c r="H599" s="235">
        <f t="shared" si="113"/>
        <v>0</v>
      </c>
      <c r="I599" s="235">
        <f t="shared" si="113"/>
        <v>0</v>
      </c>
      <c r="J599" s="234">
        <f t="shared" si="113"/>
        <v>0</v>
      </c>
      <c r="K599" s="298">
        <f t="shared" si="113"/>
        <v>0</v>
      </c>
      <c r="L599" s="318"/>
      <c r="M599" s="235"/>
      <c r="N599" s="234"/>
      <c r="O599" s="234"/>
      <c r="P599" s="298"/>
      <c r="Q599" s="449"/>
      <c r="R599" s="449"/>
      <c r="S599" s="459" t="e">
        <f t="shared" si="112"/>
        <v>#DIV/0!</v>
      </c>
    </row>
    <row r="600" spans="1:19" ht="26.25" hidden="1" thickBot="1">
      <c r="A600" s="46" t="s">
        <v>378</v>
      </c>
      <c r="B600" s="71" t="s">
        <v>202</v>
      </c>
      <c r="C600" s="76" t="s">
        <v>249</v>
      </c>
      <c r="D600" s="76" t="s">
        <v>203</v>
      </c>
      <c r="E600" s="76" t="s">
        <v>377</v>
      </c>
      <c r="F600" s="78" t="s">
        <v>337</v>
      </c>
      <c r="G600" s="234"/>
      <c r="H600" s="235"/>
      <c r="I600" s="235"/>
      <c r="J600" s="234"/>
      <c r="K600" s="298"/>
      <c r="L600" s="318"/>
      <c r="M600" s="235"/>
      <c r="N600" s="234"/>
      <c r="O600" s="234"/>
      <c r="P600" s="298"/>
      <c r="Q600" s="449"/>
      <c r="R600" s="449"/>
      <c r="S600" s="459" t="e">
        <f t="shared" si="112"/>
        <v>#DIV/0!</v>
      </c>
    </row>
    <row r="601" spans="1:19" ht="0.75" customHeight="1" hidden="1">
      <c r="A601" s="39" t="s">
        <v>379</v>
      </c>
      <c r="B601" s="71" t="s">
        <v>202</v>
      </c>
      <c r="C601" s="72" t="s">
        <v>249</v>
      </c>
      <c r="D601" s="72" t="s">
        <v>203</v>
      </c>
      <c r="E601" s="73" t="s">
        <v>329</v>
      </c>
      <c r="F601" s="74" t="s">
        <v>201</v>
      </c>
      <c r="G601" s="234">
        <f>G602</f>
        <v>0</v>
      </c>
      <c r="H601" s="235">
        <f>H602</f>
        <v>0</v>
      </c>
      <c r="I601" s="235">
        <f>I602</f>
        <v>0</v>
      </c>
      <c r="J601" s="234">
        <f>J602</f>
        <v>0</v>
      </c>
      <c r="K601" s="298">
        <f>K602</f>
        <v>0</v>
      </c>
      <c r="L601" s="318"/>
      <c r="M601" s="235"/>
      <c r="N601" s="234"/>
      <c r="O601" s="234"/>
      <c r="P601" s="298"/>
      <c r="Q601" s="449"/>
      <c r="R601" s="449"/>
      <c r="S601" s="459" t="e">
        <f t="shared" si="112"/>
        <v>#DIV/0!</v>
      </c>
    </row>
    <row r="602" spans="1:19" ht="66.75" customHeight="1" hidden="1">
      <c r="A602" s="105" t="s">
        <v>380</v>
      </c>
      <c r="B602" s="71" t="s">
        <v>202</v>
      </c>
      <c r="C602" s="72" t="s">
        <v>249</v>
      </c>
      <c r="D602" s="72" t="s">
        <v>203</v>
      </c>
      <c r="E602" s="73" t="s">
        <v>381</v>
      </c>
      <c r="F602" s="74" t="s">
        <v>201</v>
      </c>
      <c r="G602" s="234">
        <f>G603+G607</f>
        <v>0</v>
      </c>
      <c r="H602" s="235">
        <f>H603+H607</f>
        <v>0</v>
      </c>
      <c r="I602" s="235">
        <f>I603+I607</f>
        <v>0</v>
      </c>
      <c r="J602" s="234">
        <f>J603+J607</f>
        <v>0</v>
      </c>
      <c r="K602" s="298">
        <f>K603+K607</f>
        <v>0</v>
      </c>
      <c r="L602" s="318"/>
      <c r="M602" s="235"/>
      <c r="N602" s="234"/>
      <c r="O602" s="234"/>
      <c r="P602" s="298"/>
      <c r="Q602" s="449"/>
      <c r="R602" s="449"/>
      <c r="S602" s="459" t="e">
        <f t="shared" si="112"/>
        <v>#DIV/0!</v>
      </c>
    </row>
    <row r="603" spans="1:19" ht="16.5" hidden="1" thickBot="1">
      <c r="A603" s="106" t="s">
        <v>325</v>
      </c>
      <c r="B603" s="71" t="s">
        <v>202</v>
      </c>
      <c r="C603" s="72" t="s">
        <v>249</v>
      </c>
      <c r="D603" s="72" t="s">
        <v>203</v>
      </c>
      <c r="E603" s="73" t="s">
        <v>381</v>
      </c>
      <c r="F603" s="74" t="s">
        <v>326</v>
      </c>
      <c r="G603" s="234">
        <f>G604</f>
        <v>0</v>
      </c>
      <c r="H603" s="235">
        <f>H604</f>
        <v>0</v>
      </c>
      <c r="I603" s="235">
        <f>I604</f>
        <v>0</v>
      </c>
      <c r="J603" s="234">
        <f>J604</f>
        <v>0</v>
      </c>
      <c r="K603" s="298">
        <f>K604</f>
        <v>0</v>
      </c>
      <c r="L603" s="318"/>
      <c r="M603" s="235"/>
      <c r="N603" s="234"/>
      <c r="O603" s="234"/>
      <c r="P603" s="298"/>
      <c r="Q603" s="449"/>
      <c r="R603" s="449"/>
      <c r="S603" s="459" t="e">
        <f t="shared" si="112"/>
        <v>#DIV/0!</v>
      </c>
    </row>
    <row r="604" spans="1:19" ht="16.5" hidden="1" thickBot="1">
      <c r="A604" s="46" t="s">
        <v>222</v>
      </c>
      <c r="B604" s="71" t="s">
        <v>202</v>
      </c>
      <c r="C604" s="72" t="s">
        <v>249</v>
      </c>
      <c r="D604" s="72" t="s">
        <v>203</v>
      </c>
      <c r="E604" s="73" t="s">
        <v>381</v>
      </c>
      <c r="F604" s="74" t="s">
        <v>326</v>
      </c>
      <c r="G604" s="234">
        <f>G605+G606</f>
        <v>0</v>
      </c>
      <c r="H604" s="235">
        <f>H605+H606</f>
        <v>0</v>
      </c>
      <c r="I604" s="235">
        <f>I605+I606</f>
        <v>0</v>
      </c>
      <c r="J604" s="234">
        <f>J605+J606</f>
        <v>0</v>
      </c>
      <c r="K604" s="298">
        <f>K605+K606</f>
        <v>0</v>
      </c>
      <c r="L604" s="318"/>
      <c r="M604" s="235"/>
      <c r="N604" s="234"/>
      <c r="O604" s="234"/>
      <c r="P604" s="298"/>
      <c r="Q604" s="449"/>
      <c r="R604" s="449"/>
      <c r="S604" s="459" t="e">
        <f t="shared" si="112"/>
        <v>#DIV/0!</v>
      </c>
    </row>
    <row r="605" spans="1:19" ht="0.75" customHeight="1" hidden="1">
      <c r="A605" s="46" t="s">
        <v>225</v>
      </c>
      <c r="B605" s="71" t="s">
        <v>202</v>
      </c>
      <c r="C605" s="72" t="s">
        <v>249</v>
      </c>
      <c r="D605" s="72" t="s">
        <v>203</v>
      </c>
      <c r="E605" s="73" t="s">
        <v>381</v>
      </c>
      <c r="F605" s="74" t="s">
        <v>326</v>
      </c>
      <c r="G605" s="234">
        <v>0</v>
      </c>
      <c r="H605" s="235">
        <v>0</v>
      </c>
      <c r="I605" s="235">
        <v>0</v>
      </c>
      <c r="J605" s="234">
        <v>0</v>
      </c>
      <c r="K605" s="298">
        <v>0</v>
      </c>
      <c r="L605" s="318"/>
      <c r="M605" s="235"/>
      <c r="N605" s="234"/>
      <c r="O605" s="234"/>
      <c r="P605" s="298"/>
      <c r="Q605" s="449"/>
      <c r="R605" s="449"/>
      <c r="S605" s="459" t="e">
        <f t="shared" si="112"/>
        <v>#DIV/0!</v>
      </c>
    </row>
    <row r="606" spans="1:19" ht="11.25" customHeight="1" hidden="1">
      <c r="A606" s="46" t="s">
        <v>382</v>
      </c>
      <c r="B606" s="71" t="s">
        <v>202</v>
      </c>
      <c r="C606" s="72" t="s">
        <v>249</v>
      </c>
      <c r="D606" s="72" t="s">
        <v>203</v>
      </c>
      <c r="E606" s="73" t="s">
        <v>381</v>
      </c>
      <c r="F606" s="74" t="s">
        <v>326</v>
      </c>
      <c r="G606" s="234"/>
      <c r="H606" s="235"/>
      <c r="I606" s="235"/>
      <c r="J606" s="234"/>
      <c r="K606" s="298"/>
      <c r="L606" s="318"/>
      <c r="M606" s="235"/>
      <c r="N606" s="234"/>
      <c r="O606" s="234"/>
      <c r="P606" s="298"/>
      <c r="Q606" s="449"/>
      <c r="R606" s="449"/>
      <c r="S606" s="459" t="e">
        <f t="shared" si="112"/>
        <v>#DIV/0!</v>
      </c>
    </row>
    <row r="607" spans="1:19" ht="16.5" hidden="1" thickBot="1">
      <c r="A607" s="46" t="s">
        <v>228</v>
      </c>
      <c r="B607" s="71" t="s">
        <v>202</v>
      </c>
      <c r="C607" s="72" t="s">
        <v>249</v>
      </c>
      <c r="D607" s="72" t="s">
        <v>203</v>
      </c>
      <c r="E607" s="73" t="s">
        <v>381</v>
      </c>
      <c r="F607" s="74" t="s">
        <v>326</v>
      </c>
      <c r="G607" s="234">
        <f>G608+G609</f>
        <v>0</v>
      </c>
      <c r="H607" s="235">
        <f>H608+H609</f>
        <v>0</v>
      </c>
      <c r="I607" s="235">
        <f>I608+I609</f>
        <v>0</v>
      </c>
      <c r="J607" s="234">
        <f>J608+J609</f>
        <v>0</v>
      </c>
      <c r="K607" s="298">
        <f>K608+K609</f>
        <v>0</v>
      </c>
      <c r="L607" s="318"/>
      <c r="M607" s="235"/>
      <c r="N607" s="234"/>
      <c r="O607" s="234"/>
      <c r="P607" s="298"/>
      <c r="Q607" s="449"/>
      <c r="R607" s="449"/>
      <c r="S607" s="459" t="e">
        <f t="shared" si="112"/>
        <v>#DIV/0!</v>
      </c>
    </row>
    <row r="608" spans="1:19" ht="16.5" hidden="1" thickBot="1">
      <c r="A608" s="46" t="s">
        <v>229</v>
      </c>
      <c r="B608" s="71" t="s">
        <v>202</v>
      </c>
      <c r="C608" s="72" t="s">
        <v>249</v>
      </c>
      <c r="D608" s="72" t="s">
        <v>203</v>
      </c>
      <c r="E608" s="73" t="s">
        <v>381</v>
      </c>
      <c r="F608" s="74" t="s">
        <v>326</v>
      </c>
      <c r="G608" s="234">
        <v>0</v>
      </c>
      <c r="H608" s="235">
        <v>0</v>
      </c>
      <c r="I608" s="235">
        <v>0</v>
      </c>
      <c r="J608" s="234">
        <v>0</v>
      </c>
      <c r="K608" s="298">
        <v>0</v>
      </c>
      <c r="L608" s="318"/>
      <c r="M608" s="235"/>
      <c r="N608" s="234"/>
      <c r="O608" s="234"/>
      <c r="P608" s="298"/>
      <c r="Q608" s="449"/>
      <c r="R608" s="449"/>
      <c r="S608" s="459" t="e">
        <f t="shared" si="112"/>
        <v>#DIV/0!</v>
      </c>
    </row>
    <row r="609" spans="1:19" ht="16.5" hidden="1" thickBot="1">
      <c r="A609" s="46" t="s">
        <v>230</v>
      </c>
      <c r="B609" s="71" t="s">
        <v>202</v>
      </c>
      <c r="C609" s="72" t="s">
        <v>249</v>
      </c>
      <c r="D609" s="72" t="s">
        <v>203</v>
      </c>
      <c r="E609" s="73" t="s">
        <v>381</v>
      </c>
      <c r="F609" s="74" t="s">
        <v>326</v>
      </c>
      <c r="G609" s="234">
        <v>0</v>
      </c>
      <c r="H609" s="235">
        <v>0</v>
      </c>
      <c r="I609" s="235">
        <v>0</v>
      </c>
      <c r="J609" s="234">
        <v>0</v>
      </c>
      <c r="K609" s="298">
        <v>0</v>
      </c>
      <c r="L609" s="318"/>
      <c r="M609" s="235"/>
      <c r="N609" s="234"/>
      <c r="O609" s="234"/>
      <c r="P609" s="298"/>
      <c r="Q609" s="449"/>
      <c r="R609" s="449"/>
      <c r="S609" s="459" t="e">
        <f t="shared" si="112"/>
        <v>#DIV/0!</v>
      </c>
    </row>
    <row r="610" spans="1:19" ht="0.75" customHeight="1" hidden="1">
      <c r="A610" s="46"/>
      <c r="B610" s="71"/>
      <c r="C610" s="76"/>
      <c r="D610" s="76"/>
      <c r="E610" s="76"/>
      <c r="F610" s="78"/>
      <c r="G610" s="234"/>
      <c r="H610" s="235"/>
      <c r="I610" s="235"/>
      <c r="J610" s="234"/>
      <c r="K610" s="298"/>
      <c r="L610" s="318"/>
      <c r="M610" s="235"/>
      <c r="N610" s="234"/>
      <c r="O610" s="234"/>
      <c r="P610" s="298"/>
      <c r="Q610" s="449"/>
      <c r="R610" s="449"/>
      <c r="S610" s="459" t="e">
        <f t="shared" si="112"/>
        <v>#DIV/0!</v>
      </c>
    </row>
    <row r="611" spans="1:19" ht="16.5" hidden="1" thickBot="1">
      <c r="A611" s="46"/>
      <c r="B611" s="71"/>
      <c r="C611" s="76"/>
      <c r="D611" s="76"/>
      <c r="E611" s="76"/>
      <c r="F611" s="78"/>
      <c r="G611" s="234"/>
      <c r="H611" s="235"/>
      <c r="I611" s="235"/>
      <c r="J611" s="234"/>
      <c r="K611" s="333"/>
      <c r="L611" s="334"/>
      <c r="M611" s="335"/>
      <c r="N611" s="336"/>
      <c r="O611" s="336"/>
      <c r="P611" s="333"/>
      <c r="Q611" s="495"/>
      <c r="R611" s="495"/>
      <c r="S611" s="461" t="e">
        <f t="shared" si="112"/>
        <v>#DIV/0!</v>
      </c>
    </row>
    <row r="612" spans="1:19" ht="51">
      <c r="A612" s="48" t="s">
        <v>517</v>
      </c>
      <c r="B612" s="71" t="s">
        <v>202</v>
      </c>
      <c r="C612" s="72" t="s">
        <v>249</v>
      </c>
      <c r="D612" s="72" t="s">
        <v>203</v>
      </c>
      <c r="E612" s="72" t="s">
        <v>381</v>
      </c>
      <c r="F612" s="262"/>
      <c r="G612" s="264">
        <f aca="true" t="shared" si="114" ref="G612:R612">G613</f>
        <v>0</v>
      </c>
      <c r="H612" s="264">
        <f t="shared" si="114"/>
        <v>0</v>
      </c>
      <c r="I612" s="264">
        <f t="shared" si="114"/>
        <v>0</v>
      </c>
      <c r="J612" s="301">
        <f t="shared" si="114"/>
        <v>464</v>
      </c>
      <c r="K612" s="328">
        <f t="shared" si="114"/>
        <v>464</v>
      </c>
      <c r="L612" s="303">
        <f t="shared" si="114"/>
        <v>0</v>
      </c>
      <c r="M612" s="303">
        <f t="shared" si="114"/>
        <v>0</v>
      </c>
      <c r="N612" s="337">
        <f t="shared" si="114"/>
        <v>464</v>
      </c>
      <c r="O612" s="337">
        <f t="shared" si="114"/>
        <v>0</v>
      </c>
      <c r="P612" s="303">
        <f t="shared" si="114"/>
        <v>0</v>
      </c>
      <c r="Q612" s="471">
        <f t="shared" si="114"/>
        <v>290</v>
      </c>
      <c r="R612" s="472">
        <f t="shared" si="114"/>
        <v>290</v>
      </c>
      <c r="S612" s="473">
        <f t="shared" si="112"/>
        <v>100</v>
      </c>
    </row>
    <row r="613" spans="1:19" ht="15.75" customHeight="1" thickBot="1">
      <c r="A613" s="442" t="s">
        <v>109</v>
      </c>
      <c r="B613" s="210" t="s">
        <v>202</v>
      </c>
      <c r="C613" s="118" t="s">
        <v>249</v>
      </c>
      <c r="D613" s="118" t="s">
        <v>203</v>
      </c>
      <c r="E613" s="118" t="s">
        <v>381</v>
      </c>
      <c r="F613" s="403" t="s">
        <v>106</v>
      </c>
      <c r="G613" s="291"/>
      <c r="H613" s="291"/>
      <c r="I613" s="291"/>
      <c r="J613" s="291">
        <v>464</v>
      </c>
      <c r="K613" s="329">
        <f>G613+J613</f>
        <v>464</v>
      </c>
      <c r="L613" s="329"/>
      <c r="M613" s="87"/>
      <c r="N613" s="94">
        <f>K613+L613+M613</f>
        <v>464</v>
      </c>
      <c r="O613" s="94"/>
      <c r="P613" s="291"/>
      <c r="Q613" s="488">
        <v>290</v>
      </c>
      <c r="R613" s="489">
        <v>290</v>
      </c>
      <c r="S613" s="477">
        <f t="shared" si="112"/>
        <v>100</v>
      </c>
    </row>
    <row r="614" spans="1:19" ht="16.5" customHeight="1">
      <c r="A614" s="109" t="s">
        <v>291</v>
      </c>
      <c r="B614" s="99" t="s">
        <v>201</v>
      </c>
      <c r="C614" s="112" t="s">
        <v>249</v>
      </c>
      <c r="D614" s="112" t="s">
        <v>203</v>
      </c>
      <c r="E614" s="112" t="s">
        <v>292</v>
      </c>
      <c r="F614" s="252"/>
      <c r="G614" s="400">
        <f aca="true" t="shared" si="115" ref="G614:N614">G616+G657</f>
        <v>4000</v>
      </c>
      <c r="H614" s="400">
        <f t="shared" si="115"/>
        <v>4000</v>
      </c>
      <c r="I614" s="400">
        <f t="shared" si="115"/>
        <v>4000</v>
      </c>
      <c r="J614" s="398">
        <f t="shared" si="115"/>
        <v>118.09299999999999</v>
      </c>
      <c r="K614" s="360">
        <f t="shared" si="115"/>
        <v>4118.093</v>
      </c>
      <c r="L614" s="398">
        <f t="shared" si="115"/>
        <v>-1126.003</v>
      </c>
      <c r="M614" s="398">
        <f t="shared" si="115"/>
        <v>873.75</v>
      </c>
      <c r="N614" s="435">
        <f t="shared" si="115"/>
        <v>3865.84</v>
      </c>
      <c r="O614" s="435">
        <f>O616+O657</f>
        <v>-2316</v>
      </c>
      <c r="P614" s="398">
        <f>P616+P657</f>
        <v>960</v>
      </c>
      <c r="Q614" s="480">
        <f>Q616+Q657</f>
        <v>2409.84</v>
      </c>
      <c r="R614" s="480">
        <f>R616+R657</f>
        <v>2362.26704</v>
      </c>
      <c r="S614" s="466">
        <f t="shared" si="112"/>
        <v>98.02588719583044</v>
      </c>
    </row>
    <row r="615" spans="1:19" ht="15.75" hidden="1">
      <c r="A615" s="45" t="s">
        <v>208</v>
      </c>
      <c r="B615" s="71" t="s">
        <v>202</v>
      </c>
      <c r="C615" s="72" t="s">
        <v>249</v>
      </c>
      <c r="D615" s="72" t="s">
        <v>203</v>
      </c>
      <c r="E615" s="72" t="s">
        <v>292</v>
      </c>
      <c r="F615" s="262" t="s">
        <v>209</v>
      </c>
      <c r="G615" s="264">
        <f>G616+G658</f>
        <v>4000</v>
      </c>
      <c r="H615" s="264">
        <f>H616+H658</f>
        <v>4000</v>
      </c>
      <c r="I615" s="264">
        <f>I616+I658</f>
        <v>4000</v>
      </c>
      <c r="J615" s="301">
        <f>J616+J658</f>
        <v>118.09299999999999</v>
      </c>
      <c r="K615" s="313">
        <f>K616+K658</f>
        <v>4118.093</v>
      </c>
      <c r="L615" s="313"/>
      <c r="M615" s="75"/>
      <c r="N615" s="96"/>
      <c r="O615" s="96"/>
      <c r="P615" s="287"/>
      <c r="Q615" s="449"/>
      <c r="R615" s="449"/>
      <c r="S615" s="459" t="e">
        <f t="shared" si="112"/>
        <v>#DIV/0!</v>
      </c>
    </row>
    <row r="616" spans="1:19" ht="32.25" customHeight="1">
      <c r="A616" s="45" t="s">
        <v>159</v>
      </c>
      <c r="B616" s="71" t="s">
        <v>201</v>
      </c>
      <c r="C616" s="72" t="s">
        <v>249</v>
      </c>
      <c r="D616" s="72" t="s">
        <v>203</v>
      </c>
      <c r="E616" s="72" t="s">
        <v>383</v>
      </c>
      <c r="F616" s="262"/>
      <c r="G616" s="264">
        <f aca="true" t="shared" si="116" ref="G616:N616">G651+G653+G655</f>
        <v>2000</v>
      </c>
      <c r="H616" s="264">
        <f t="shared" si="116"/>
        <v>2000</v>
      </c>
      <c r="I616" s="264">
        <f t="shared" si="116"/>
        <v>2000</v>
      </c>
      <c r="J616" s="301">
        <f t="shared" si="116"/>
        <v>42.09299999999999</v>
      </c>
      <c r="K616" s="313">
        <f t="shared" si="116"/>
        <v>2042.093</v>
      </c>
      <c r="L616" s="301">
        <f t="shared" si="116"/>
        <v>-50.002999999999986</v>
      </c>
      <c r="M616" s="301">
        <f t="shared" si="116"/>
        <v>0</v>
      </c>
      <c r="N616" s="338">
        <f t="shared" si="116"/>
        <v>1992.0900000000001</v>
      </c>
      <c r="O616" s="338">
        <f>O651+O653+O655</f>
        <v>-70</v>
      </c>
      <c r="P616" s="301">
        <f>P651+P653+P655</f>
        <v>0</v>
      </c>
      <c r="Q616" s="449">
        <f>Q651+Q653+Q655</f>
        <v>1822.0900000000001</v>
      </c>
      <c r="R616" s="449">
        <f>R651+R653+R655</f>
        <v>1776.45729</v>
      </c>
      <c r="S616" s="465">
        <f t="shared" si="112"/>
        <v>97.49558419177976</v>
      </c>
    </row>
    <row r="617" spans="1:19" ht="39.75" customHeight="1" hidden="1">
      <c r="A617" s="42"/>
      <c r="B617" s="71" t="s">
        <v>202</v>
      </c>
      <c r="C617" s="76" t="s">
        <v>249</v>
      </c>
      <c r="D617" s="76" t="s">
        <v>203</v>
      </c>
      <c r="E617" s="76" t="s">
        <v>383</v>
      </c>
      <c r="F617" s="156" t="s">
        <v>209</v>
      </c>
      <c r="G617" s="158">
        <f>SUM(G618:G627)</f>
        <v>17500</v>
      </c>
      <c r="H617" s="158">
        <f>SUM(H618:H627)</f>
        <v>17500</v>
      </c>
      <c r="I617" s="158">
        <f>SUM(I618:I627)</f>
        <v>17500</v>
      </c>
      <c r="J617" s="294">
        <f>SUM(J618:J627)</f>
        <v>17500</v>
      </c>
      <c r="K617" s="315">
        <f>SUM(K618:K627)</f>
        <v>17500</v>
      </c>
      <c r="L617" s="315"/>
      <c r="M617" s="82"/>
      <c r="N617" s="89"/>
      <c r="O617" s="89"/>
      <c r="P617" s="275"/>
      <c r="Q617" s="448"/>
      <c r="R617" s="448"/>
      <c r="S617" s="465" t="e">
        <f t="shared" si="112"/>
        <v>#DIV/0!</v>
      </c>
    </row>
    <row r="618" spans="1:19" ht="4.5" customHeight="1" hidden="1">
      <c r="A618" s="46" t="s">
        <v>382</v>
      </c>
      <c r="B618" s="71" t="s">
        <v>202</v>
      </c>
      <c r="C618" s="76" t="s">
        <v>249</v>
      </c>
      <c r="D618" s="76" t="s">
        <v>203</v>
      </c>
      <c r="E618" s="76" t="s">
        <v>383</v>
      </c>
      <c r="F618" s="156" t="s">
        <v>209</v>
      </c>
      <c r="G618" s="158"/>
      <c r="H618" s="158"/>
      <c r="I618" s="158"/>
      <c r="J618" s="294"/>
      <c r="K618" s="315"/>
      <c r="L618" s="315"/>
      <c r="M618" s="82"/>
      <c r="N618" s="89"/>
      <c r="O618" s="89"/>
      <c r="P618" s="275"/>
      <c r="Q618" s="448"/>
      <c r="R618" s="448"/>
      <c r="S618" s="465" t="e">
        <f t="shared" si="112"/>
        <v>#DIV/0!</v>
      </c>
    </row>
    <row r="619" spans="1:19" ht="12.75" hidden="1">
      <c r="A619" s="46" t="s">
        <v>382</v>
      </c>
      <c r="B619" s="71" t="s">
        <v>299</v>
      </c>
      <c r="C619" s="76" t="s">
        <v>249</v>
      </c>
      <c r="D619" s="76" t="s">
        <v>203</v>
      </c>
      <c r="E619" s="76" t="s">
        <v>383</v>
      </c>
      <c r="F619" s="156" t="s">
        <v>209</v>
      </c>
      <c r="G619" s="158">
        <f>14000+3500</f>
        <v>17500</v>
      </c>
      <c r="H619" s="158">
        <f>14000+3500</f>
        <v>17500</v>
      </c>
      <c r="I619" s="158">
        <f>14000+3500</f>
        <v>17500</v>
      </c>
      <c r="J619" s="294">
        <f>14000+3500</f>
        <v>17500</v>
      </c>
      <c r="K619" s="315">
        <f>14000+3500</f>
        <v>17500</v>
      </c>
      <c r="L619" s="315"/>
      <c r="M619" s="82"/>
      <c r="N619" s="89"/>
      <c r="O619" s="89"/>
      <c r="P619" s="275"/>
      <c r="Q619" s="448"/>
      <c r="R619" s="448"/>
      <c r="S619" s="465" t="e">
        <f t="shared" si="112"/>
        <v>#DIV/0!</v>
      </c>
    </row>
    <row r="620" spans="1:19" ht="12.75" hidden="1">
      <c r="A620" s="46" t="s">
        <v>382</v>
      </c>
      <c r="B620" s="71" t="s">
        <v>384</v>
      </c>
      <c r="C620" s="76" t="s">
        <v>249</v>
      </c>
      <c r="D620" s="76" t="s">
        <v>203</v>
      </c>
      <c r="E620" s="76" t="s">
        <v>383</v>
      </c>
      <c r="F620" s="156" t="s">
        <v>209</v>
      </c>
      <c r="G620" s="158"/>
      <c r="H620" s="158"/>
      <c r="I620" s="158"/>
      <c r="J620" s="294"/>
      <c r="K620" s="315"/>
      <c r="L620" s="315"/>
      <c r="M620" s="82"/>
      <c r="N620" s="89"/>
      <c r="O620" s="89"/>
      <c r="P620" s="275"/>
      <c r="Q620" s="448"/>
      <c r="R620" s="448"/>
      <c r="S620" s="465" t="e">
        <f t="shared" si="112"/>
        <v>#DIV/0!</v>
      </c>
    </row>
    <row r="621" spans="1:19" ht="12.75" hidden="1">
      <c r="A621" s="42"/>
      <c r="B621" s="71" t="s">
        <v>340</v>
      </c>
      <c r="C621" s="76" t="s">
        <v>249</v>
      </c>
      <c r="D621" s="76" t="s">
        <v>203</v>
      </c>
      <c r="E621" s="76" t="s">
        <v>383</v>
      </c>
      <c r="F621" s="156" t="s">
        <v>209</v>
      </c>
      <c r="G621" s="158"/>
      <c r="H621" s="158"/>
      <c r="I621" s="158"/>
      <c r="J621" s="294"/>
      <c r="K621" s="315"/>
      <c r="L621" s="315"/>
      <c r="M621" s="82"/>
      <c r="N621" s="89"/>
      <c r="O621" s="89"/>
      <c r="P621" s="275"/>
      <c r="Q621" s="448"/>
      <c r="R621" s="448"/>
      <c r="S621" s="465" t="e">
        <f t="shared" si="112"/>
        <v>#DIV/0!</v>
      </c>
    </row>
    <row r="622" spans="1:19" ht="12.75" hidden="1">
      <c r="A622" s="46"/>
      <c r="B622" s="71" t="s">
        <v>340</v>
      </c>
      <c r="C622" s="76" t="s">
        <v>249</v>
      </c>
      <c r="D622" s="76" t="s">
        <v>203</v>
      </c>
      <c r="E622" s="76" t="s">
        <v>383</v>
      </c>
      <c r="F622" s="156" t="s">
        <v>209</v>
      </c>
      <c r="G622" s="158"/>
      <c r="H622" s="158"/>
      <c r="I622" s="158"/>
      <c r="J622" s="294"/>
      <c r="K622" s="315"/>
      <c r="L622" s="315"/>
      <c r="M622" s="82"/>
      <c r="N622" s="89"/>
      <c r="O622" s="89"/>
      <c r="P622" s="275"/>
      <c r="Q622" s="448"/>
      <c r="R622" s="448"/>
      <c r="S622" s="465" t="e">
        <f t="shared" si="112"/>
        <v>#DIV/0!</v>
      </c>
    </row>
    <row r="623" spans="1:19" ht="12.75" customHeight="1" hidden="1">
      <c r="A623" s="46" t="s">
        <v>226</v>
      </c>
      <c r="B623" s="71" t="s">
        <v>202</v>
      </c>
      <c r="C623" s="76" t="s">
        <v>249</v>
      </c>
      <c r="D623" s="76" t="s">
        <v>203</v>
      </c>
      <c r="E623" s="76" t="s">
        <v>385</v>
      </c>
      <c r="F623" s="156" t="s">
        <v>209</v>
      </c>
      <c r="G623" s="158"/>
      <c r="H623" s="158"/>
      <c r="I623" s="158"/>
      <c r="J623" s="294"/>
      <c r="K623" s="315"/>
      <c r="L623" s="315"/>
      <c r="M623" s="82"/>
      <c r="N623" s="89"/>
      <c r="O623" s="89"/>
      <c r="P623" s="275"/>
      <c r="Q623" s="448"/>
      <c r="R623" s="448"/>
      <c r="S623" s="465" t="e">
        <f t="shared" si="112"/>
        <v>#DIV/0!</v>
      </c>
    </row>
    <row r="624" spans="1:19" ht="4.5" customHeight="1" hidden="1">
      <c r="A624" s="46" t="s">
        <v>382</v>
      </c>
      <c r="B624" s="71" t="s">
        <v>202</v>
      </c>
      <c r="C624" s="76" t="s">
        <v>249</v>
      </c>
      <c r="D624" s="76" t="s">
        <v>203</v>
      </c>
      <c r="E624" s="76" t="s">
        <v>292</v>
      </c>
      <c r="F624" s="156" t="s">
        <v>209</v>
      </c>
      <c r="G624" s="158"/>
      <c r="H624" s="158"/>
      <c r="I624" s="158"/>
      <c r="J624" s="294"/>
      <c r="K624" s="315"/>
      <c r="L624" s="315"/>
      <c r="M624" s="82"/>
      <c r="N624" s="89"/>
      <c r="O624" s="89"/>
      <c r="P624" s="275"/>
      <c r="Q624" s="448"/>
      <c r="R624" s="448"/>
      <c r="S624" s="465" t="e">
        <f t="shared" si="112"/>
        <v>#DIV/0!</v>
      </c>
    </row>
    <row r="625" spans="1:19" ht="12.75" hidden="1">
      <c r="A625" s="46" t="s">
        <v>382</v>
      </c>
      <c r="B625" s="71" t="s">
        <v>202</v>
      </c>
      <c r="C625" s="76" t="s">
        <v>249</v>
      </c>
      <c r="D625" s="76" t="s">
        <v>203</v>
      </c>
      <c r="E625" s="76" t="s">
        <v>292</v>
      </c>
      <c r="F625" s="156" t="s">
        <v>209</v>
      </c>
      <c r="G625" s="158"/>
      <c r="H625" s="158"/>
      <c r="I625" s="158"/>
      <c r="J625" s="294"/>
      <c r="K625" s="315"/>
      <c r="L625" s="315"/>
      <c r="M625" s="82"/>
      <c r="N625" s="89"/>
      <c r="O625" s="89"/>
      <c r="P625" s="275"/>
      <c r="Q625" s="448"/>
      <c r="R625" s="448"/>
      <c r="S625" s="465" t="e">
        <f t="shared" si="112"/>
        <v>#DIV/0!</v>
      </c>
    </row>
    <row r="626" spans="1:19" ht="12.75" hidden="1">
      <c r="A626" s="46" t="s">
        <v>386</v>
      </c>
      <c r="B626" s="71" t="s">
        <v>202</v>
      </c>
      <c r="C626" s="76" t="s">
        <v>249</v>
      </c>
      <c r="D626" s="76" t="s">
        <v>203</v>
      </c>
      <c r="E626" s="76" t="s">
        <v>292</v>
      </c>
      <c r="F626" s="156" t="s">
        <v>209</v>
      </c>
      <c r="G626" s="158"/>
      <c r="H626" s="158"/>
      <c r="I626" s="158"/>
      <c r="J626" s="294"/>
      <c r="K626" s="315"/>
      <c r="L626" s="315"/>
      <c r="M626" s="82"/>
      <c r="N626" s="89"/>
      <c r="O626" s="89"/>
      <c r="P626" s="275"/>
      <c r="Q626" s="448"/>
      <c r="R626" s="448"/>
      <c r="S626" s="465" t="e">
        <f t="shared" si="112"/>
        <v>#DIV/0!</v>
      </c>
    </row>
    <row r="627" spans="1:19" ht="12.75" hidden="1">
      <c r="A627" s="46" t="s">
        <v>386</v>
      </c>
      <c r="B627" s="71" t="s">
        <v>202</v>
      </c>
      <c r="C627" s="76" t="s">
        <v>249</v>
      </c>
      <c r="D627" s="76" t="s">
        <v>203</v>
      </c>
      <c r="E627" s="76" t="s">
        <v>387</v>
      </c>
      <c r="F627" s="156" t="s">
        <v>209</v>
      </c>
      <c r="G627" s="158"/>
      <c r="H627" s="158"/>
      <c r="I627" s="158"/>
      <c r="J627" s="294"/>
      <c r="K627" s="315"/>
      <c r="L627" s="315"/>
      <c r="M627" s="82"/>
      <c r="N627" s="89"/>
      <c r="O627" s="89"/>
      <c r="P627" s="275"/>
      <c r="Q627" s="448"/>
      <c r="R627" s="448"/>
      <c r="S627" s="465" t="e">
        <f t="shared" si="112"/>
        <v>#DIV/0!</v>
      </c>
    </row>
    <row r="628" spans="1:19" ht="12.75" hidden="1">
      <c r="A628" s="46" t="s">
        <v>228</v>
      </c>
      <c r="B628" s="71" t="s">
        <v>202</v>
      </c>
      <c r="C628" s="76" t="s">
        <v>249</v>
      </c>
      <c r="D628" s="76" t="s">
        <v>203</v>
      </c>
      <c r="E628" s="76" t="s">
        <v>292</v>
      </c>
      <c r="F628" s="156" t="s">
        <v>209</v>
      </c>
      <c r="G628" s="158">
        <f>G629</f>
        <v>0</v>
      </c>
      <c r="H628" s="158">
        <f>H629</f>
        <v>0</v>
      </c>
      <c r="I628" s="158">
        <f>I629</f>
        <v>0</v>
      </c>
      <c r="J628" s="294">
        <f>J629</f>
        <v>0</v>
      </c>
      <c r="K628" s="315">
        <f>K629</f>
        <v>0</v>
      </c>
      <c r="L628" s="315"/>
      <c r="M628" s="82"/>
      <c r="N628" s="89"/>
      <c r="O628" s="89"/>
      <c r="P628" s="275"/>
      <c r="Q628" s="448"/>
      <c r="R628" s="448"/>
      <c r="S628" s="465" t="e">
        <f t="shared" si="112"/>
        <v>#DIV/0!</v>
      </c>
    </row>
    <row r="629" spans="1:19" ht="12.75" hidden="1">
      <c r="A629" s="46" t="s">
        <v>229</v>
      </c>
      <c r="B629" s="71" t="s">
        <v>202</v>
      </c>
      <c r="C629" s="76" t="s">
        <v>249</v>
      </c>
      <c r="D629" s="76" t="s">
        <v>203</v>
      </c>
      <c r="E629" s="76" t="s">
        <v>292</v>
      </c>
      <c r="F629" s="156" t="s">
        <v>209</v>
      </c>
      <c r="G629" s="158"/>
      <c r="H629" s="158"/>
      <c r="I629" s="158"/>
      <c r="J629" s="294"/>
      <c r="K629" s="315"/>
      <c r="L629" s="315"/>
      <c r="M629" s="82"/>
      <c r="N629" s="89"/>
      <c r="O629" s="89"/>
      <c r="P629" s="275"/>
      <c r="Q629" s="448"/>
      <c r="R629" s="448"/>
      <c r="S629" s="465" t="e">
        <f t="shared" si="112"/>
        <v>#DIV/0!</v>
      </c>
    </row>
    <row r="630" spans="1:19" ht="0.75" customHeight="1" hidden="1">
      <c r="A630" s="46" t="s">
        <v>388</v>
      </c>
      <c r="B630" s="71"/>
      <c r="C630" s="72" t="s">
        <v>249</v>
      </c>
      <c r="D630" s="72" t="s">
        <v>199</v>
      </c>
      <c r="E630" s="72" t="s">
        <v>200</v>
      </c>
      <c r="F630" s="262" t="s">
        <v>201</v>
      </c>
      <c r="G630" s="158">
        <f>G631+G646</f>
        <v>17500</v>
      </c>
      <c r="H630" s="158">
        <f>H631+H646</f>
        <v>17500</v>
      </c>
      <c r="I630" s="158">
        <f>I631+I646</f>
        <v>17500</v>
      </c>
      <c r="J630" s="294">
        <f>J631+J646</f>
        <v>17500</v>
      </c>
      <c r="K630" s="315">
        <f>K631+K646</f>
        <v>17500</v>
      </c>
      <c r="L630" s="315"/>
      <c r="M630" s="82"/>
      <c r="N630" s="89"/>
      <c r="O630" s="89"/>
      <c r="P630" s="275"/>
      <c r="Q630" s="448"/>
      <c r="R630" s="448"/>
      <c r="S630" s="465" t="e">
        <f t="shared" si="112"/>
        <v>#DIV/0!</v>
      </c>
    </row>
    <row r="631" spans="1:19" ht="12.75" hidden="1">
      <c r="A631" s="46" t="s">
        <v>210</v>
      </c>
      <c r="B631" s="71"/>
      <c r="C631" s="72" t="s">
        <v>249</v>
      </c>
      <c r="D631" s="72" t="s">
        <v>199</v>
      </c>
      <c r="E631" s="72" t="s">
        <v>200</v>
      </c>
      <c r="F631" s="262" t="s">
        <v>201</v>
      </c>
      <c r="G631" s="158">
        <f>G632+G636+G643+G645</f>
        <v>17500</v>
      </c>
      <c r="H631" s="158">
        <f>H632+H636+H643+H645</f>
        <v>17500</v>
      </c>
      <c r="I631" s="158">
        <f>I632+I636+I643+I645</f>
        <v>17500</v>
      </c>
      <c r="J631" s="294">
        <f>J632+J636+J643+J645</f>
        <v>17500</v>
      </c>
      <c r="K631" s="315">
        <f>K632+K636+K643+K645</f>
        <v>17500</v>
      </c>
      <c r="L631" s="315"/>
      <c r="M631" s="82"/>
      <c r="N631" s="89"/>
      <c r="O631" s="89"/>
      <c r="P631" s="275"/>
      <c r="Q631" s="448"/>
      <c r="R631" s="448"/>
      <c r="S631" s="465" t="e">
        <f t="shared" si="112"/>
        <v>#DIV/0!</v>
      </c>
    </row>
    <row r="632" spans="1:19" ht="12.75" hidden="1">
      <c r="A632" s="46" t="s">
        <v>211</v>
      </c>
      <c r="B632" s="71"/>
      <c r="C632" s="72" t="s">
        <v>249</v>
      </c>
      <c r="D632" s="72" t="s">
        <v>199</v>
      </c>
      <c r="E632" s="72" t="s">
        <v>200</v>
      </c>
      <c r="F632" s="262" t="s">
        <v>201</v>
      </c>
      <c r="G632" s="158">
        <f>SUM(G633:G635)</f>
        <v>0</v>
      </c>
      <c r="H632" s="158">
        <f>SUM(H633:H635)</f>
        <v>0</v>
      </c>
      <c r="I632" s="158">
        <f>SUM(I633:I635)</f>
        <v>0</v>
      </c>
      <c r="J632" s="294">
        <f>SUM(J633:J635)</f>
        <v>0</v>
      </c>
      <c r="K632" s="315">
        <f>SUM(K633:K635)</f>
        <v>0</v>
      </c>
      <c r="L632" s="315"/>
      <c r="M632" s="82"/>
      <c r="N632" s="89"/>
      <c r="O632" s="89"/>
      <c r="P632" s="275"/>
      <c r="Q632" s="448"/>
      <c r="R632" s="448"/>
      <c r="S632" s="465" t="e">
        <f t="shared" si="112"/>
        <v>#DIV/0!</v>
      </c>
    </row>
    <row r="633" spans="1:19" ht="12.75" hidden="1">
      <c r="A633" s="46" t="s">
        <v>212</v>
      </c>
      <c r="B633" s="71"/>
      <c r="C633" s="72" t="s">
        <v>249</v>
      </c>
      <c r="D633" s="72" t="s">
        <v>199</v>
      </c>
      <c r="E633" s="72" t="s">
        <v>200</v>
      </c>
      <c r="F633" s="262" t="s">
        <v>201</v>
      </c>
      <c r="G633" s="158">
        <v>0</v>
      </c>
      <c r="H633" s="158">
        <v>0</v>
      </c>
      <c r="I633" s="158">
        <v>0</v>
      </c>
      <c r="J633" s="294">
        <v>0</v>
      </c>
      <c r="K633" s="315">
        <v>0</v>
      </c>
      <c r="L633" s="315"/>
      <c r="M633" s="82"/>
      <c r="N633" s="89"/>
      <c r="O633" s="89"/>
      <c r="P633" s="275"/>
      <c r="Q633" s="448"/>
      <c r="R633" s="448"/>
      <c r="S633" s="465" t="e">
        <f t="shared" si="112"/>
        <v>#DIV/0!</v>
      </c>
    </row>
    <row r="634" spans="1:19" ht="12" customHeight="1" hidden="1">
      <c r="A634" s="46" t="s">
        <v>213</v>
      </c>
      <c r="B634" s="71"/>
      <c r="C634" s="72" t="s">
        <v>249</v>
      </c>
      <c r="D634" s="72" t="s">
        <v>199</v>
      </c>
      <c r="E634" s="72" t="s">
        <v>200</v>
      </c>
      <c r="F634" s="262" t="s">
        <v>201</v>
      </c>
      <c r="G634" s="158">
        <v>0</v>
      </c>
      <c r="H634" s="158">
        <v>0</v>
      </c>
      <c r="I634" s="158">
        <v>0</v>
      </c>
      <c r="J634" s="294">
        <v>0</v>
      </c>
      <c r="K634" s="315">
        <v>0</v>
      </c>
      <c r="L634" s="315"/>
      <c r="M634" s="82"/>
      <c r="N634" s="89"/>
      <c r="O634" s="89"/>
      <c r="P634" s="275"/>
      <c r="Q634" s="448"/>
      <c r="R634" s="448"/>
      <c r="S634" s="465" t="e">
        <f t="shared" si="112"/>
        <v>#DIV/0!</v>
      </c>
    </row>
    <row r="635" spans="1:19" ht="12.75" hidden="1">
      <c r="A635" s="46" t="s">
        <v>214</v>
      </c>
      <c r="B635" s="71"/>
      <c r="C635" s="72" t="s">
        <v>249</v>
      </c>
      <c r="D635" s="72" t="s">
        <v>199</v>
      </c>
      <c r="E635" s="72" t="s">
        <v>200</v>
      </c>
      <c r="F635" s="262" t="s">
        <v>201</v>
      </c>
      <c r="G635" s="158">
        <v>0</v>
      </c>
      <c r="H635" s="158">
        <v>0</v>
      </c>
      <c r="I635" s="158">
        <v>0</v>
      </c>
      <c r="J635" s="294">
        <v>0</v>
      </c>
      <c r="K635" s="315">
        <v>0</v>
      </c>
      <c r="L635" s="315"/>
      <c r="M635" s="82"/>
      <c r="N635" s="89"/>
      <c r="O635" s="89"/>
      <c r="P635" s="275"/>
      <c r="Q635" s="448"/>
      <c r="R635" s="448"/>
      <c r="S635" s="465" t="e">
        <f t="shared" si="112"/>
        <v>#DIV/0!</v>
      </c>
    </row>
    <row r="636" spans="1:19" ht="12.75" hidden="1">
      <c r="A636" s="46" t="s">
        <v>222</v>
      </c>
      <c r="B636" s="71"/>
      <c r="C636" s="72" t="s">
        <v>249</v>
      </c>
      <c r="D636" s="72" t="s">
        <v>199</v>
      </c>
      <c r="E636" s="72" t="s">
        <v>200</v>
      </c>
      <c r="F636" s="262" t="s">
        <v>201</v>
      </c>
      <c r="G636" s="158">
        <f>SUM(G637:G642)</f>
        <v>17500</v>
      </c>
      <c r="H636" s="158">
        <f>SUM(H637:H642)</f>
        <v>17500</v>
      </c>
      <c r="I636" s="158">
        <f>SUM(I637:I642)</f>
        <v>17500</v>
      </c>
      <c r="J636" s="294">
        <f>SUM(J637:J642)</f>
        <v>17500</v>
      </c>
      <c r="K636" s="315">
        <f>SUM(K637:K642)</f>
        <v>17500</v>
      </c>
      <c r="L636" s="315"/>
      <c r="M636" s="82"/>
      <c r="N636" s="89"/>
      <c r="O636" s="89"/>
      <c r="P636" s="275"/>
      <c r="Q636" s="448"/>
      <c r="R636" s="448"/>
      <c r="S636" s="465" t="e">
        <f t="shared" si="112"/>
        <v>#DIV/0!</v>
      </c>
    </row>
    <row r="637" spans="1:19" ht="12.75" hidden="1">
      <c r="A637" s="46" t="s">
        <v>223</v>
      </c>
      <c r="B637" s="71"/>
      <c r="C637" s="72" t="s">
        <v>249</v>
      </c>
      <c r="D637" s="72" t="s">
        <v>199</v>
      </c>
      <c r="E637" s="72" t="s">
        <v>200</v>
      </c>
      <c r="F637" s="262" t="s">
        <v>201</v>
      </c>
      <c r="G637" s="158">
        <v>0</v>
      </c>
      <c r="H637" s="158">
        <v>0</v>
      </c>
      <c r="I637" s="158">
        <v>0</v>
      </c>
      <c r="J637" s="294">
        <v>0</v>
      </c>
      <c r="K637" s="315">
        <v>0</v>
      </c>
      <c r="L637" s="315"/>
      <c r="M637" s="82"/>
      <c r="N637" s="89"/>
      <c r="O637" s="89"/>
      <c r="P637" s="275"/>
      <c r="Q637" s="448"/>
      <c r="R637" s="448"/>
      <c r="S637" s="465" t="e">
        <f t="shared" si="112"/>
        <v>#DIV/0!</v>
      </c>
    </row>
    <row r="638" spans="1:19" ht="12.75" hidden="1">
      <c r="A638" s="46" t="s">
        <v>224</v>
      </c>
      <c r="B638" s="71"/>
      <c r="C638" s="72" t="s">
        <v>249</v>
      </c>
      <c r="D638" s="72" t="s">
        <v>199</v>
      </c>
      <c r="E638" s="72" t="s">
        <v>200</v>
      </c>
      <c r="F638" s="262" t="s">
        <v>201</v>
      </c>
      <c r="G638" s="158">
        <v>0</v>
      </c>
      <c r="H638" s="158">
        <v>0</v>
      </c>
      <c r="I638" s="158">
        <v>0</v>
      </c>
      <c r="J638" s="294">
        <v>0</v>
      </c>
      <c r="K638" s="315">
        <v>0</v>
      </c>
      <c r="L638" s="315"/>
      <c r="M638" s="82"/>
      <c r="N638" s="89"/>
      <c r="O638" s="89"/>
      <c r="P638" s="275"/>
      <c r="Q638" s="448"/>
      <c r="R638" s="448"/>
      <c r="S638" s="465" t="e">
        <f t="shared" si="112"/>
        <v>#DIV/0!</v>
      </c>
    </row>
    <row r="639" spans="1:19" ht="12.75" hidden="1">
      <c r="A639" s="46" t="s">
        <v>242</v>
      </c>
      <c r="B639" s="71"/>
      <c r="C639" s="72" t="s">
        <v>249</v>
      </c>
      <c r="D639" s="72" t="s">
        <v>199</v>
      </c>
      <c r="E639" s="72" t="s">
        <v>200</v>
      </c>
      <c r="F639" s="262" t="s">
        <v>201</v>
      </c>
      <c r="G639" s="158">
        <v>0</v>
      </c>
      <c r="H639" s="158">
        <v>0</v>
      </c>
      <c r="I639" s="158">
        <v>0</v>
      </c>
      <c r="J639" s="294">
        <v>0</v>
      </c>
      <c r="K639" s="315">
        <v>0</v>
      </c>
      <c r="L639" s="315"/>
      <c r="M639" s="82"/>
      <c r="N639" s="89"/>
      <c r="O639" s="89"/>
      <c r="P639" s="275"/>
      <c r="Q639" s="448"/>
      <c r="R639" s="448"/>
      <c r="S639" s="465" t="e">
        <f t="shared" si="112"/>
        <v>#DIV/0!</v>
      </c>
    </row>
    <row r="640" spans="1:19" ht="12.75" hidden="1">
      <c r="A640" s="46" t="s">
        <v>243</v>
      </c>
      <c r="B640" s="71"/>
      <c r="C640" s="72" t="s">
        <v>249</v>
      </c>
      <c r="D640" s="72" t="s">
        <v>199</v>
      </c>
      <c r="E640" s="72" t="s">
        <v>200</v>
      </c>
      <c r="F640" s="262" t="s">
        <v>201</v>
      </c>
      <c r="G640" s="158">
        <v>0</v>
      </c>
      <c r="H640" s="158">
        <v>0</v>
      </c>
      <c r="I640" s="158">
        <v>0</v>
      </c>
      <c r="J640" s="294">
        <v>0</v>
      </c>
      <c r="K640" s="315">
        <v>0</v>
      </c>
      <c r="L640" s="315"/>
      <c r="M640" s="82"/>
      <c r="N640" s="89"/>
      <c r="O640" s="89"/>
      <c r="P640" s="275"/>
      <c r="Q640" s="448"/>
      <c r="R640" s="448"/>
      <c r="S640" s="465" t="e">
        <f t="shared" si="112"/>
        <v>#DIV/0!</v>
      </c>
    </row>
    <row r="641" spans="1:19" ht="12.75" hidden="1">
      <c r="A641" s="46" t="s">
        <v>225</v>
      </c>
      <c r="B641" s="71"/>
      <c r="C641" s="72" t="s">
        <v>249</v>
      </c>
      <c r="D641" s="72" t="s">
        <v>199</v>
      </c>
      <c r="E641" s="72" t="s">
        <v>200</v>
      </c>
      <c r="F641" s="262" t="s">
        <v>201</v>
      </c>
      <c r="G641" s="158">
        <f>G563+G618+G592+G580+G619+G620+G621+G605</f>
        <v>17500</v>
      </c>
      <c r="H641" s="158">
        <f>H563+H618+H592+H580+H619+H620+H621+H605</f>
        <v>17500</v>
      </c>
      <c r="I641" s="158">
        <f>I563+I618+I592+I580+I619+I620+I621+I605</f>
        <v>17500</v>
      </c>
      <c r="J641" s="294">
        <f>J563+J618+J592+J580+J619+J620+J621+J605</f>
        <v>17500</v>
      </c>
      <c r="K641" s="315">
        <f>K563+K618+K592+K580+K619+K620+K621+K605</f>
        <v>17500</v>
      </c>
      <c r="L641" s="315"/>
      <c r="M641" s="82"/>
      <c r="N641" s="89"/>
      <c r="O641" s="89"/>
      <c r="P641" s="275"/>
      <c r="Q641" s="448"/>
      <c r="R641" s="448"/>
      <c r="S641" s="465" t="e">
        <f t="shared" si="112"/>
        <v>#DIV/0!</v>
      </c>
    </row>
    <row r="642" spans="1:19" ht="12.75" hidden="1">
      <c r="A642" s="46" t="s">
        <v>226</v>
      </c>
      <c r="B642" s="71"/>
      <c r="C642" s="72" t="s">
        <v>249</v>
      </c>
      <c r="D642" s="72" t="s">
        <v>199</v>
      </c>
      <c r="E642" s="72" t="s">
        <v>200</v>
      </c>
      <c r="F642" s="262" t="s">
        <v>201</v>
      </c>
      <c r="G642" s="158">
        <f>G626+G564+G624+G625+G623+G627+G543+G622+G606</f>
        <v>0</v>
      </c>
      <c r="H642" s="158">
        <f>H626+H564+H624+H625+H623+H627+H543+H622+H606</f>
        <v>0</v>
      </c>
      <c r="I642" s="158">
        <f>I626+I564+I624+I625+I623+I627+I543+I622+I606</f>
        <v>0</v>
      </c>
      <c r="J642" s="294">
        <f>J626+J564+J624+J625+J623+J627+J543+J622+J606</f>
        <v>0</v>
      </c>
      <c r="K642" s="315">
        <f>K626+K564+K624+K625+K623+K627+K543+K622+K606</f>
        <v>0</v>
      </c>
      <c r="L642" s="315"/>
      <c r="M642" s="82"/>
      <c r="N642" s="89"/>
      <c r="O642" s="89"/>
      <c r="P642" s="275"/>
      <c r="Q642" s="448"/>
      <c r="R642" s="448"/>
      <c r="S642" s="465" t="e">
        <f t="shared" si="112"/>
        <v>#DIV/0!</v>
      </c>
    </row>
    <row r="643" spans="1:19" ht="16.5" customHeight="1" hidden="1">
      <c r="A643" s="46" t="s">
        <v>370</v>
      </c>
      <c r="B643" s="71"/>
      <c r="C643" s="72" t="s">
        <v>249</v>
      </c>
      <c r="D643" s="72" t="s">
        <v>199</v>
      </c>
      <c r="E643" s="72" t="s">
        <v>200</v>
      </c>
      <c r="F643" s="262" t="s">
        <v>201</v>
      </c>
      <c r="G643" s="158">
        <f>G644</f>
        <v>0</v>
      </c>
      <c r="H643" s="158">
        <f>H644</f>
        <v>0</v>
      </c>
      <c r="I643" s="158">
        <f>I644</f>
        <v>0</v>
      </c>
      <c r="J643" s="294">
        <f>J644</f>
        <v>0</v>
      </c>
      <c r="K643" s="315">
        <f>K644</f>
        <v>0</v>
      </c>
      <c r="L643" s="315"/>
      <c r="M643" s="82"/>
      <c r="N643" s="89"/>
      <c r="O643" s="89"/>
      <c r="P643" s="275"/>
      <c r="Q643" s="448"/>
      <c r="R643" s="448"/>
      <c r="S643" s="465" t="e">
        <f t="shared" si="112"/>
        <v>#DIV/0!</v>
      </c>
    </row>
    <row r="644" spans="1:19" ht="25.5" hidden="1">
      <c r="A644" s="46" t="s">
        <v>378</v>
      </c>
      <c r="B644" s="71"/>
      <c r="C644" s="72" t="s">
        <v>249</v>
      </c>
      <c r="D644" s="72" t="s">
        <v>199</v>
      </c>
      <c r="E644" s="72" t="s">
        <v>200</v>
      </c>
      <c r="F644" s="262" t="s">
        <v>201</v>
      </c>
      <c r="G644" s="158">
        <f>G586+G587+G600</f>
        <v>0</v>
      </c>
      <c r="H644" s="158">
        <f>H586+H587+H600</f>
        <v>0</v>
      </c>
      <c r="I644" s="158">
        <f>I586+I587+I600</f>
        <v>0</v>
      </c>
      <c r="J644" s="294">
        <f>J586+J587+J600</f>
        <v>0</v>
      </c>
      <c r="K644" s="315">
        <f>K586+K587+K600</f>
        <v>0</v>
      </c>
      <c r="L644" s="315"/>
      <c r="M644" s="82"/>
      <c r="N644" s="89"/>
      <c r="O644" s="89"/>
      <c r="P644" s="275"/>
      <c r="Q644" s="448"/>
      <c r="R644" s="448"/>
      <c r="S644" s="465" t="e">
        <f t="shared" si="112"/>
        <v>#DIV/0!</v>
      </c>
    </row>
    <row r="645" spans="1:19" ht="12.75" hidden="1">
      <c r="A645" s="46" t="s">
        <v>227</v>
      </c>
      <c r="B645" s="71"/>
      <c r="C645" s="72" t="s">
        <v>249</v>
      </c>
      <c r="D645" s="72" t="s">
        <v>199</v>
      </c>
      <c r="E645" s="72" t="s">
        <v>200</v>
      </c>
      <c r="F645" s="262" t="s">
        <v>201</v>
      </c>
      <c r="G645" s="158">
        <v>0</v>
      </c>
      <c r="H645" s="158">
        <v>0</v>
      </c>
      <c r="I645" s="158">
        <v>0</v>
      </c>
      <c r="J645" s="294">
        <v>0</v>
      </c>
      <c r="K645" s="315">
        <v>0</v>
      </c>
      <c r="L645" s="315"/>
      <c r="M645" s="82"/>
      <c r="N645" s="89"/>
      <c r="O645" s="89"/>
      <c r="P645" s="275"/>
      <c r="Q645" s="448"/>
      <c r="R645" s="448"/>
      <c r="S645" s="465" t="e">
        <f t="shared" si="112"/>
        <v>#DIV/0!</v>
      </c>
    </row>
    <row r="646" spans="1:19" ht="12.75" hidden="1">
      <c r="A646" s="46" t="s">
        <v>228</v>
      </c>
      <c r="B646" s="71"/>
      <c r="C646" s="72" t="s">
        <v>249</v>
      </c>
      <c r="D646" s="72" t="s">
        <v>199</v>
      </c>
      <c r="E646" s="72" t="s">
        <v>200</v>
      </c>
      <c r="F646" s="262" t="s">
        <v>201</v>
      </c>
      <c r="G646" s="158">
        <f>SUM(G647:G648)</f>
        <v>0</v>
      </c>
      <c r="H646" s="158">
        <f>SUM(H647:H648)</f>
        <v>0</v>
      </c>
      <c r="I646" s="158">
        <f>SUM(I647:I648)</f>
        <v>0</v>
      </c>
      <c r="J646" s="294">
        <f>SUM(J647:J648)</f>
        <v>0</v>
      </c>
      <c r="K646" s="315">
        <f>SUM(K647:K648)</f>
        <v>0</v>
      </c>
      <c r="L646" s="315"/>
      <c r="M646" s="82"/>
      <c r="N646" s="89"/>
      <c r="O646" s="89"/>
      <c r="P646" s="275"/>
      <c r="Q646" s="448"/>
      <c r="R646" s="448"/>
      <c r="S646" s="465" t="e">
        <f t="shared" si="112"/>
        <v>#DIV/0!</v>
      </c>
    </row>
    <row r="647" spans="1:19" ht="12.75" hidden="1">
      <c r="A647" s="46" t="s">
        <v>229</v>
      </c>
      <c r="B647" s="71"/>
      <c r="C647" s="72" t="s">
        <v>249</v>
      </c>
      <c r="D647" s="72" t="s">
        <v>199</v>
      </c>
      <c r="E647" s="72" t="s">
        <v>200</v>
      </c>
      <c r="F647" s="262" t="s">
        <v>201</v>
      </c>
      <c r="G647" s="158">
        <f>G629+G566+G594+G546+G551+G558</f>
        <v>0</v>
      </c>
      <c r="H647" s="158">
        <f>H629+H566+H594+H546+H551+H558</f>
        <v>0</v>
      </c>
      <c r="I647" s="158">
        <f>I629+I566+I594+I546+I551+I558</f>
        <v>0</v>
      </c>
      <c r="J647" s="294">
        <f>J629+J566+J594+J546+J551+J558</f>
        <v>0</v>
      </c>
      <c r="K647" s="315">
        <f>K629+K566+K594+K546+K551+K558</f>
        <v>0</v>
      </c>
      <c r="L647" s="315"/>
      <c r="M647" s="82"/>
      <c r="N647" s="89"/>
      <c r="O647" s="89"/>
      <c r="P647" s="275"/>
      <c r="Q647" s="448"/>
      <c r="R647" s="448"/>
      <c r="S647" s="465" t="e">
        <f t="shared" si="112"/>
        <v>#DIV/0!</v>
      </c>
    </row>
    <row r="648" spans="1:19" ht="12.75" hidden="1">
      <c r="A648" s="46" t="s">
        <v>230</v>
      </c>
      <c r="B648" s="71"/>
      <c r="C648" s="72" t="s">
        <v>249</v>
      </c>
      <c r="D648" s="72" t="s">
        <v>199</v>
      </c>
      <c r="E648" s="72" t="s">
        <v>200</v>
      </c>
      <c r="F648" s="262" t="s">
        <v>201</v>
      </c>
      <c r="G648" s="158">
        <v>0</v>
      </c>
      <c r="H648" s="158">
        <v>0</v>
      </c>
      <c r="I648" s="158">
        <v>0</v>
      </c>
      <c r="J648" s="294">
        <v>0</v>
      </c>
      <c r="K648" s="315">
        <v>0</v>
      </c>
      <c r="L648" s="315"/>
      <c r="M648" s="82"/>
      <c r="N648" s="89"/>
      <c r="O648" s="89"/>
      <c r="P648" s="275"/>
      <c r="Q648" s="448"/>
      <c r="R648" s="448"/>
      <c r="S648" s="465" t="e">
        <f t="shared" si="112"/>
        <v>#DIV/0!</v>
      </c>
    </row>
    <row r="649" spans="1:19" ht="19.5" customHeight="1" hidden="1">
      <c r="A649" s="46" t="s">
        <v>290</v>
      </c>
      <c r="B649" s="71"/>
      <c r="C649" s="72" t="s">
        <v>249</v>
      </c>
      <c r="D649" s="72" t="s">
        <v>199</v>
      </c>
      <c r="E649" s="72" t="s">
        <v>200</v>
      </c>
      <c r="F649" s="262" t="s">
        <v>201</v>
      </c>
      <c r="G649" s="158">
        <f>G633+G634+G635+G637+G638+G639+G640+G641+G642+G644+G645+G647+G648</f>
        <v>17500</v>
      </c>
      <c r="H649" s="158">
        <f>H633+H634+H635+H637+H638+H639+H640+H641+H642+H644+H645+H647+H648</f>
        <v>17500</v>
      </c>
      <c r="I649" s="158">
        <f>I633+I634+I635+I637+I638+I639+I640+I641+I642+I644+I645+I647+I648</f>
        <v>17500</v>
      </c>
      <c r="J649" s="294">
        <f>J633+J634+J635+J637+J638+J639+J640+J641+J642+J644+J645+J647+J648</f>
        <v>17500</v>
      </c>
      <c r="K649" s="315">
        <f>K633+K634+K635+K637+K638+K639+K640+K641+K642+K644+K645+K647+K648</f>
        <v>17500</v>
      </c>
      <c r="L649" s="315"/>
      <c r="M649" s="82"/>
      <c r="N649" s="89"/>
      <c r="O649" s="89"/>
      <c r="P649" s="275"/>
      <c r="Q649" s="448"/>
      <c r="R649" s="448"/>
      <c r="S649" s="465" t="e">
        <f t="shared" si="112"/>
        <v>#DIV/0!</v>
      </c>
    </row>
    <row r="650" spans="1:19" ht="0.75" customHeight="1" hidden="1">
      <c r="A650" s="46" t="s">
        <v>208</v>
      </c>
      <c r="B650" s="71" t="s">
        <v>202</v>
      </c>
      <c r="C650" s="76" t="s">
        <v>249</v>
      </c>
      <c r="D650" s="76" t="s">
        <v>203</v>
      </c>
      <c r="E650" s="76" t="s">
        <v>383</v>
      </c>
      <c r="F650" s="156" t="s">
        <v>209</v>
      </c>
      <c r="G650" s="158">
        <f aca="true" t="shared" si="117" ref="G650:M651">G651</f>
        <v>2000</v>
      </c>
      <c r="H650" s="158">
        <f t="shared" si="117"/>
        <v>2000</v>
      </c>
      <c r="I650" s="158">
        <f t="shared" si="117"/>
        <v>2000</v>
      </c>
      <c r="J650" s="294">
        <f t="shared" si="117"/>
        <v>-487.057</v>
      </c>
      <c r="K650" s="315">
        <f t="shared" si="117"/>
        <v>1512.943</v>
      </c>
      <c r="L650" s="315"/>
      <c r="M650" s="82"/>
      <c r="N650" s="89"/>
      <c r="O650" s="89"/>
      <c r="P650" s="275"/>
      <c r="Q650" s="448"/>
      <c r="R650" s="448"/>
      <c r="S650" s="465" t="e">
        <f t="shared" si="112"/>
        <v>#DIV/0!</v>
      </c>
    </row>
    <row r="651" spans="1:19" ht="15.75" customHeight="1">
      <c r="A651" s="192" t="s">
        <v>109</v>
      </c>
      <c r="B651" s="141" t="s">
        <v>202</v>
      </c>
      <c r="C651" s="76" t="s">
        <v>249</v>
      </c>
      <c r="D651" s="76" t="s">
        <v>203</v>
      </c>
      <c r="E651" s="76" t="s">
        <v>383</v>
      </c>
      <c r="F651" s="156" t="s">
        <v>106</v>
      </c>
      <c r="G651" s="158">
        <f t="shared" si="117"/>
        <v>2000</v>
      </c>
      <c r="H651" s="158">
        <f t="shared" si="117"/>
        <v>2000</v>
      </c>
      <c r="I651" s="158">
        <f t="shared" si="117"/>
        <v>2000</v>
      </c>
      <c r="J651" s="294">
        <f t="shared" si="117"/>
        <v>-487.057</v>
      </c>
      <c r="K651" s="315">
        <f t="shared" si="117"/>
        <v>1512.943</v>
      </c>
      <c r="L651" s="294">
        <f t="shared" si="117"/>
        <v>-499.276</v>
      </c>
      <c r="M651" s="294">
        <f t="shared" si="117"/>
        <v>-360.194</v>
      </c>
      <c r="N651" s="339">
        <f>N652</f>
        <v>653.473</v>
      </c>
      <c r="O651" s="339">
        <f>O652</f>
        <v>-505</v>
      </c>
      <c r="P651" s="294">
        <f>P652</f>
        <v>0</v>
      </c>
      <c r="Q651" s="448">
        <v>207.99995</v>
      </c>
      <c r="R651" s="448">
        <v>162.81124</v>
      </c>
      <c r="S651" s="444">
        <f t="shared" si="112"/>
        <v>78.27465343140707</v>
      </c>
    </row>
    <row r="652" spans="1:19" ht="12.75" hidden="1">
      <c r="A652" s="46"/>
      <c r="B652" s="141"/>
      <c r="C652" s="76"/>
      <c r="D652" s="76"/>
      <c r="E652" s="76"/>
      <c r="F652" s="156" t="s">
        <v>235</v>
      </c>
      <c r="G652" s="158">
        <v>2000</v>
      </c>
      <c r="H652" s="158">
        <v>2000</v>
      </c>
      <c r="I652" s="158">
        <v>2000</v>
      </c>
      <c r="J652" s="294">
        <f>-846.057+359</f>
        <v>-487.057</v>
      </c>
      <c r="K652" s="315">
        <f>G652+J652</f>
        <v>1512.943</v>
      </c>
      <c r="L652" s="315">
        <f>-50-359-90.273-0.003</f>
        <v>-499.276</v>
      </c>
      <c r="M652" s="82">
        <v>-360.194</v>
      </c>
      <c r="N652" s="339">
        <f>K652+L652+M652</f>
        <v>653.473</v>
      </c>
      <c r="O652" s="339">
        <f>-70-80-355</f>
        <v>-505</v>
      </c>
      <c r="P652" s="294"/>
      <c r="Q652" s="448">
        <f>N652+O652+P652</f>
        <v>148.47299999999996</v>
      </c>
      <c r="R652" s="448">
        <f>O652+P652+Q652</f>
        <v>-356.52700000000004</v>
      </c>
      <c r="S652" s="444">
        <f t="shared" si="112"/>
        <v>-240.12918173674683</v>
      </c>
    </row>
    <row r="653" spans="1:19" ht="15.75" customHeight="1">
      <c r="A653" s="213" t="s">
        <v>120</v>
      </c>
      <c r="B653" s="214" t="s">
        <v>299</v>
      </c>
      <c r="C653" s="76" t="s">
        <v>249</v>
      </c>
      <c r="D653" s="76" t="s">
        <v>203</v>
      </c>
      <c r="E653" s="76" t="s">
        <v>383</v>
      </c>
      <c r="F653" s="266" t="s">
        <v>112</v>
      </c>
      <c r="G653" s="158">
        <f aca="true" t="shared" si="118" ref="G653:P653">G654</f>
        <v>0</v>
      </c>
      <c r="H653" s="158">
        <f t="shared" si="118"/>
        <v>0</v>
      </c>
      <c r="I653" s="158">
        <f t="shared" si="118"/>
        <v>0</v>
      </c>
      <c r="J653" s="294">
        <f t="shared" si="118"/>
        <v>309.937</v>
      </c>
      <c r="K653" s="315">
        <f t="shared" si="118"/>
        <v>309.937</v>
      </c>
      <c r="L653" s="294">
        <f t="shared" si="118"/>
        <v>449.273</v>
      </c>
      <c r="M653" s="294">
        <f t="shared" si="118"/>
        <v>65</v>
      </c>
      <c r="N653" s="339">
        <f t="shared" si="118"/>
        <v>824.21</v>
      </c>
      <c r="O653" s="339">
        <f t="shared" si="118"/>
        <v>355</v>
      </c>
      <c r="P653" s="294">
        <f t="shared" si="118"/>
        <v>0</v>
      </c>
      <c r="Q653" s="448">
        <v>1053.10931</v>
      </c>
      <c r="R653" s="448">
        <v>1053.10931</v>
      </c>
      <c r="S653" s="444">
        <f t="shared" si="112"/>
        <v>100</v>
      </c>
    </row>
    <row r="654" spans="1:19" ht="12.75" hidden="1">
      <c r="A654" s="108"/>
      <c r="B654" s="214"/>
      <c r="C654" s="91"/>
      <c r="D654" s="91"/>
      <c r="E654" s="144"/>
      <c r="F654" s="266" t="s">
        <v>235</v>
      </c>
      <c r="G654" s="158"/>
      <c r="H654" s="158"/>
      <c r="I654" s="158"/>
      <c r="J654" s="294">
        <v>309.937</v>
      </c>
      <c r="K654" s="315">
        <f>G654+J654</f>
        <v>309.937</v>
      </c>
      <c r="L654" s="315">
        <f>359+90.273</f>
        <v>449.273</v>
      </c>
      <c r="M654" s="82">
        <v>65</v>
      </c>
      <c r="N654" s="89">
        <f>K654+L654+M654</f>
        <v>824.21</v>
      </c>
      <c r="O654" s="89">
        <v>355</v>
      </c>
      <c r="P654" s="275"/>
      <c r="Q654" s="448">
        <f>N654+O654+P654</f>
        <v>1179.21</v>
      </c>
      <c r="R654" s="448">
        <f>O654+P654+Q654</f>
        <v>1534.21</v>
      </c>
      <c r="S654" s="444">
        <f t="shared" si="112"/>
        <v>130.1049007386301</v>
      </c>
    </row>
    <row r="655" spans="1:19" ht="15.75" customHeight="1">
      <c r="A655" s="213" t="s">
        <v>120</v>
      </c>
      <c r="B655" s="214" t="s">
        <v>340</v>
      </c>
      <c r="C655" s="76" t="s">
        <v>249</v>
      </c>
      <c r="D655" s="76" t="s">
        <v>203</v>
      </c>
      <c r="E655" s="76" t="s">
        <v>383</v>
      </c>
      <c r="F655" s="266" t="s">
        <v>112</v>
      </c>
      <c r="G655" s="158">
        <f aca="true" t="shared" si="119" ref="G655:P655">G656</f>
        <v>0</v>
      </c>
      <c r="H655" s="158">
        <f t="shared" si="119"/>
        <v>0</v>
      </c>
      <c r="I655" s="158">
        <f t="shared" si="119"/>
        <v>0</v>
      </c>
      <c r="J655" s="294">
        <f t="shared" si="119"/>
        <v>219.213</v>
      </c>
      <c r="K655" s="315">
        <f t="shared" si="119"/>
        <v>219.213</v>
      </c>
      <c r="L655" s="294">
        <f t="shared" si="119"/>
        <v>0</v>
      </c>
      <c r="M655" s="294">
        <f t="shared" si="119"/>
        <v>295.194</v>
      </c>
      <c r="N655" s="339">
        <f t="shared" si="119"/>
        <v>514.407</v>
      </c>
      <c r="O655" s="339">
        <f t="shared" si="119"/>
        <v>80</v>
      </c>
      <c r="P655" s="294">
        <f t="shared" si="119"/>
        <v>0</v>
      </c>
      <c r="Q655" s="448">
        <v>560.98074</v>
      </c>
      <c r="R655" s="448">
        <v>560.53674</v>
      </c>
      <c r="S655" s="444">
        <f aca="true" t="shared" si="120" ref="S655:S718">R655/Q655*100</f>
        <v>99.92085289773051</v>
      </c>
    </row>
    <row r="656" spans="1:19" ht="15.75" hidden="1">
      <c r="A656" s="108"/>
      <c r="B656" s="90"/>
      <c r="C656" s="91"/>
      <c r="D656" s="91"/>
      <c r="E656" s="144"/>
      <c r="F656" s="266" t="s">
        <v>235</v>
      </c>
      <c r="G656" s="158"/>
      <c r="H656" s="158"/>
      <c r="I656" s="158"/>
      <c r="J656" s="294">
        <v>219.213</v>
      </c>
      <c r="K656" s="315">
        <f>G656+J656</f>
        <v>219.213</v>
      </c>
      <c r="L656" s="315"/>
      <c r="M656" s="82">
        <v>295.194</v>
      </c>
      <c r="N656" s="89">
        <f>K656+L656+M656</f>
        <v>514.407</v>
      </c>
      <c r="O656" s="89">
        <v>80</v>
      </c>
      <c r="P656" s="275"/>
      <c r="Q656" s="448">
        <f>N656+O656+P656</f>
        <v>594.407</v>
      </c>
      <c r="R656" s="448">
        <f>O656+P656+Q656</f>
        <v>674.407</v>
      </c>
      <c r="S656" s="459">
        <f t="shared" si="120"/>
        <v>113.45879170332785</v>
      </c>
    </row>
    <row r="657" spans="1:19" ht="32.25" customHeight="1">
      <c r="A657" s="46" t="s">
        <v>160</v>
      </c>
      <c r="B657" s="90" t="s">
        <v>201</v>
      </c>
      <c r="C657" s="129" t="s">
        <v>249</v>
      </c>
      <c r="D657" s="129" t="s">
        <v>203</v>
      </c>
      <c r="E657" s="129" t="s">
        <v>391</v>
      </c>
      <c r="F657" s="263"/>
      <c r="G657" s="264">
        <f aca="true" t="shared" si="121" ref="G657:N657">G658+G660</f>
        <v>2000</v>
      </c>
      <c r="H657" s="264">
        <f t="shared" si="121"/>
        <v>2000</v>
      </c>
      <c r="I657" s="264">
        <f t="shared" si="121"/>
        <v>2000</v>
      </c>
      <c r="J657" s="301">
        <f t="shared" si="121"/>
        <v>76</v>
      </c>
      <c r="K657" s="313">
        <f t="shared" si="121"/>
        <v>2076</v>
      </c>
      <c r="L657" s="301">
        <f t="shared" si="121"/>
        <v>-1076</v>
      </c>
      <c r="M657" s="301">
        <f t="shared" si="121"/>
        <v>873.75</v>
      </c>
      <c r="N657" s="338">
        <f t="shared" si="121"/>
        <v>1873.75</v>
      </c>
      <c r="O657" s="338">
        <f>O658+O660</f>
        <v>-2246</v>
      </c>
      <c r="P657" s="301">
        <f>P658+P660</f>
        <v>960</v>
      </c>
      <c r="Q657" s="449">
        <f>Q658+Q660</f>
        <v>587.75</v>
      </c>
      <c r="R657" s="449">
        <f>R658+R660</f>
        <v>585.80975</v>
      </c>
      <c r="S657" s="465">
        <f t="shared" si="120"/>
        <v>99.66988515525308</v>
      </c>
    </row>
    <row r="658" spans="1:19" ht="15.75" customHeight="1" hidden="1">
      <c r="A658" s="192" t="s">
        <v>109</v>
      </c>
      <c r="B658" s="141" t="s">
        <v>202</v>
      </c>
      <c r="C658" s="76" t="s">
        <v>249</v>
      </c>
      <c r="D658" s="76" t="s">
        <v>203</v>
      </c>
      <c r="E658" s="76" t="s">
        <v>391</v>
      </c>
      <c r="F658" s="156" t="s">
        <v>106</v>
      </c>
      <c r="G658" s="158">
        <f aca="true" t="shared" si="122" ref="G658:Q658">G659</f>
        <v>2000</v>
      </c>
      <c r="H658" s="158">
        <f t="shared" si="122"/>
        <v>2000</v>
      </c>
      <c r="I658" s="158">
        <f t="shared" si="122"/>
        <v>2000</v>
      </c>
      <c r="J658" s="294">
        <f t="shared" si="122"/>
        <v>76</v>
      </c>
      <c r="K658" s="315">
        <f t="shared" si="122"/>
        <v>2076</v>
      </c>
      <c r="L658" s="294">
        <f t="shared" si="122"/>
        <v>-2076</v>
      </c>
      <c r="M658" s="294">
        <f t="shared" si="122"/>
        <v>1286</v>
      </c>
      <c r="N658" s="339">
        <f t="shared" si="122"/>
        <v>1286</v>
      </c>
      <c r="O658" s="339">
        <f t="shared" si="122"/>
        <v>-2246</v>
      </c>
      <c r="P658" s="294">
        <f t="shared" si="122"/>
        <v>960</v>
      </c>
      <c r="Q658" s="448">
        <f t="shared" si="122"/>
        <v>0</v>
      </c>
      <c r="R658" s="448">
        <v>0</v>
      </c>
      <c r="S658" s="444" t="e">
        <f t="shared" si="120"/>
        <v>#DIV/0!</v>
      </c>
    </row>
    <row r="659" spans="1:19" ht="12.75" hidden="1">
      <c r="A659" s="46"/>
      <c r="B659" s="71"/>
      <c r="C659" s="76"/>
      <c r="D659" s="76"/>
      <c r="E659" s="76"/>
      <c r="F659" s="156" t="s">
        <v>235</v>
      </c>
      <c r="G659" s="158">
        <v>2000</v>
      </c>
      <c r="H659" s="158">
        <v>2000</v>
      </c>
      <c r="I659" s="158">
        <v>2000</v>
      </c>
      <c r="J659" s="294">
        <f>-1500+1576</f>
        <v>76</v>
      </c>
      <c r="K659" s="315">
        <f>G659+J659</f>
        <v>2076</v>
      </c>
      <c r="L659" s="315">
        <f>-1076-1000</f>
        <v>-2076</v>
      </c>
      <c r="M659" s="82">
        <v>1286</v>
      </c>
      <c r="N659" s="89">
        <f>K659+L659+M659</f>
        <v>1286</v>
      </c>
      <c r="O659" s="89">
        <f>-125-99.993-415.823-1605.184</f>
        <v>-2246</v>
      </c>
      <c r="P659" s="275">
        <v>960</v>
      </c>
      <c r="Q659" s="448">
        <f>N659+O659+P659</f>
        <v>0</v>
      </c>
      <c r="R659" s="448">
        <f>O659+P659+Q659</f>
        <v>-1286</v>
      </c>
      <c r="S659" s="444" t="e">
        <f t="shared" si="120"/>
        <v>#DIV/0!</v>
      </c>
    </row>
    <row r="660" spans="1:19" ht="15.75" customHeight="1" thickBot="1">
      <c r="A660" s="213" t="s">
        <v>120</v>
      </c>
      <c r="B660" s="220" t="s">
        <v>299</v>
      </c>
      <c r="C660" s="79" t="s">
        <v>249</v>
      </c>
      <c r="D660" s="79" t="s">
        <v>203</v>
      </c>
      <c r="E660" s="79" t="s">
        <v>385</v>
      </c>
      <c r="F660" s="155" t="s">
        <v>112</v>
      </c>
      <c r="G660" s="158">
        <f aca="true" t="shared" si="123" ref="G660:Q660">G661</f>
        <v>0</v>
      </c>
      <c r="H660" s="158">
        <f t="shared" si="123"/>
        <v>0</v>
      </c>
      <c r="I660" s="158">
        <f t="shared" si="123"/>
        <v>0</v>
      </c>
      <c r="J660" s="294">
        <f t="shared" si="123"/>
        <v>0</v>
      </c>
      <c r="K660" s="315">
        <f t="shared" si="123"/>
        <v>0</v>
      </c>
      <c r="L660" s="315">
        <f t="shared" si="123"/>
        <v>1000</v>
      </c>
      <c r="M660" s="315">
        <f t="shared" si="123"/>
        <v>-412.25</v>
      </c>
      <c r="N660" s="315">
        <f t="shared" si="123"/>
        <v>587.75</v>
      </c>
      <c r="O660" s="315">
        <f t="shared" si="123"/>
        <v>0</v>
      </c>
      <c r="P660" s="315">
        <f t="shared" si="123"/>
        <v>0</v>
      </c>
      <c r="Q660" s="448">
        <f t="shared" si="123"/>
        <v>587.75</v>
      </c>
      <c r="R660" s="448">
        <v>585.80975</v>
      </c>
      <c r="S660" s="444">
        <f t="shared" si="120"/>
        <v>99.66988515525308</v>
      </c>
    </row>
    <row r="661" spans="1:19" ht="16.5" hidden="1" thickBot="1">
      <c r="A661" s="29"/>
      <c r="B661" s="30"/>
      <c r="C661" s="79"/>
      <c r="D661" s="79"/>
      <c r="E661" s="79"/>
      <c r="F661" s="155" t="s">
        <v>235</v>
      </c>
      <c r="G661" s="158"/>
      <c r="H661" s="158"/>
      <c r="I661" s="158"/>
      <c r="J661" s="294"/>
      <c r="K661" s="329">
        <f>G661+J661</f>
        <v>0</v>
      </c>
      <c r="L661" s="329">
        <v>1000</v>
      </c>
      <c r="M661" s="87">
        <v>-412.25</v>
      </c>
      <c r="N661" s="94">
        <f>K661+L661+M661</f>
        <v>587.75</v>
      </c>
      <c r="O661" s="94"/>
      <c r="P661" s="291"/>
      <c r="Q661" s="460">
        <f>N661+O661+P661</f>
        <v>587.75</v>
      </c>
      <c r="R661" s="460">
        <f>O661+P661+Q661</f>
        <v>587.75</v>
      </c>
      <c r="S661" s="461">
        <f t="shared" si="120"/>
        <v>100</v>
      </c>
    </row>
    <row r="662" spans="1:19" ht="16.5" customHeight="1" thickBot="1">
      <c r="A662" s="182" t="s">
        <v>146</v>
      </c>
      <c r="B662" s="183" t="s">
        <v>202</v>
      </c>
      <c r="C662" s="184" t="s">
        <v>253</v>
      </c>
      <c r="D662" s="184" t="s">
        <v>199</v>
      </c>
      <c r="E662" s="184"/>
      <c r="F662" s="186"/>
      <c r="G662" s="265">
        <f aca="true" t="shared" si="124" ref="G662:K665">G663</f>
        <v>150</v>
      </c>
      <c r="H662" s="265">
        <f t="shared" si="124"/>
        <v>300</v>
      </c>
      <c r="I662" s="265">
        <f t="shared" si="124"/>
        <v>490</v>
      </c>
      <c r="J662" s="265">
        <f t="shared" si="124"/>
        <v>350</v>
      </c>
      <c r="K662" s="295">
        <f t="shared" si="124"/>
        <v>500</v>
      </c>
      <c r="L662" s="295">
        <f aca="true" t="shared" si="125" ref="L662:R664">L663</f>
        <v>-160</v>
      </c>
      <c r="M662" s="295">
        <f t="shared" si="125"/>
        <v>0</v>
      </c>
      <c r="N662" s="295">
        <f t="shared" si="125"/>
        <v>340</v>
      </c>
      <c r="O662" s="295">
        <f t="shared" si="125"/>
        <v>0</v>
      </c>
      <c r="P662" s="295">
        <f t="shared" si="125"/>
        <v>0</v>
      </c>
      <c r="Q662" s="462">
        <f t="shared" si="125"/>
        <v>340</v>
      </c>
      <c r="R662" s="463">
        <f t="shared" si="125"/>
        <v>0</v>
      </c>
      <c r="S662" s="494">
        <f t="shared" si="120"/>
        <v>0</v>
      </c>
    </row>
    <row r="663" spans="1:19" ht="16.5" customHeight="1">
      <c r="A663" s="145" t="s">
        <v>119</v>
      </c>
      <c r="B663" s="30" t="s">
        <v>202</v>
      </c>
      <c r="C663" s="31" t="s">
        <v>253</v>
      </c>
      <c r="D663" s="31" t="s">
        <v>249</v>
      </c>
      <c r="E663" s="31"/>
      <c r="F663" s="32"/>
      <c r="G663" s="257">
        <f t="shared" si="124"/>
        <v>150</v>
      </c>
      <c r="H663" s="257">
        <f t="shared" si="124"/>
        <v>300</v>
      </c>
      <c r="I663" s="257">
        <f t="shared" si="124"/>
        <v>490</v>
      </c>
      <c r="J663" s="257">
        <f t="shared" si="124"/>
        <v>350</v>
      </c>
      <c r="K663" s="281">
        <f t="shared" si="124"/>
        <v>500</v>
      </c>
      <c r="L663" s="281">
        <f t="shared" si="125"/>
        <v>-160</v>
      </c>
      <c r="M663" s="281">
        <f t="shared" si="125"/>
        <v>0</v>
      </c>
      <c r="N663" s="281">
        <f t="shared" si="125"/>
        <v>340</v>
      </c>
      <c r="O663" s="281">
        <f t="shared" si="125"/>
        <v>0</v>
      </c>
      <c r="P663" s="281">
        <f t="shared" si="125"/>
        <v>0</v>
      </c>
      <c r="Q663" s="480">
        <f t="shared" si="125"/>
        <v>340</v>
      </c>
      <c r="R663" s="480">
        <f t="shared" si="125"/>
        <v>0</v>
      </c>
      <c r="S663" s="481">
        <f t="shared" si="120"/>
        <v>0</v>
      </c>
    </row>
    <row r="664" spans="1:19" ht="16.5" customHeight="1">
      <c r="A664" s="45" t="s">
        <v>291</v>
      </c>
      <c r="B664" s="71" t="s">
        <v>202</v>
      </c>
      <c r="C664" s="72" t="s">
        <v>253</v>
      </c>
      <c r="D664" s="72" t="s">
        <v>249</v>
      </c>
      <c r="E664" s="72" t="s">
        <v>292</v>
      </c>
      <c r="F664" s="74"/>
      <c r="G664" s="96">
        <f t="shared" si="124"/>
        <v>150</v>
      </c>
      <c r="H664" s="96">
        <f t="shared" si="124"/>
        <v>300</v>
      </c>
      <c r="I664" s="96">
        <f t="shared" si="124"/>
        <v>490</v>
      </c>
      <c r="J664" s="96">
        <f t="shared" si="124"/>
        <v>350</v>
      </c>
      <c r="K664" s="287">
        <f t="shared" si="124"/>
        <v>500</v>
      </c>
      <c r="L664" s="287">
        <f t="shared" si="125"/>
        <v>-160</v>
      </c>
      <c r="M664" s="287">
        <f t="shared" si="125"/>
        <v>0</v>
      </c>
      <c r="N664" s="287">
        <f t="shared" si="125"/>
        <v>340</v>
      </c>
      <c r="O664" s="287">
        <f t="shared" si="125"/>
        <v>0</v>
      </c>
      <c r="P664" s="287">
        <f t="shared" si="125"/>
        <v>0</v>
      </c>
      <c r="Q664" s="449">
        <f t="shared" si="125"/>
        <v>340</v>
      </c>
      <c r="R664" s="449">
        <f t="shared" si="125"/>
        <v>0</v>
      </c>
      <c r="S664" s="465">
        <f t="shared" si="120"/>
        <v>0</v>
      </c>
    </row>
    <row r="665" spans="1:19" ht="26.25" customHeight="1">
      <c r="A665" s="109" t="s">
        <v>161</v>
      </c>
      <c r="B665" s="71" t="s">
        <v>202</v>
      </c>
      <c r="C665" s="72" t="s">
        <v>253</v>
      </c>
      <c r="D665" s="72" t="s">
        <v>249</v>
      </c>
      <c r="E665" s="72" t="s">
        <v>392</v>
      </c>
      <c r="F665" s="74"/>
      <c r="G665" s="203">
        <f t="shared" si="124"/>
        <v>150</v>
      </c>
      <c r="H665" s="121">
        <f t="shared" si="124"/>
        <v>300</v>
      </c>
      <c r="I665" s="121">
        <f t="shared" si="124"/>
        <v>490</v>
      </c>
      <c r="J665" s="203">
        <f t="shared" si="124"/>
        <v>350</v>
      </c>
      <c r="K665" s="268">
        <f t="shared" si="124"/>
        <v>500</v>
      </c>
      <c r="L665" s="268">
        <f aca="true" t="shared" si="126" ref="L665:R665">L666</f>
        <v>-160</v>
      </c>
      <c r="M665" s="268">
        <f t="shared" si="126"/>
        <v>0</v>
      </c>
      <c r="N665" s="268">
        <f t="shared" si="126"/>
        <v>340</v>
      </c>
      <c r="O665" s="268">
        <f t="shared" si="126"/>
        <v>0</v>
      </c>
      <c r="P665" s="268">
        <f t="shared" si="126"/>
        <v>0</v>
      </c>
      <c r="Q665" s="449">
        <f t="shared" si="126"/>
        <v>340</v>
      </c>
      <c r="R665" s="449">
        <f t="shared" si="126"/>
        <v>0</v>
      </c>
      <c r="S665" s="465">
        <f t="shared" si="120"/>
        <v>0</v>
      </c>
    </row>
    <row r="666" spans="1:19" ht="15.75" customHeight="1" thickBot="1">
      <c r="A666" s="192" t="s">
        <v>109</v>
      </c>
      <c r="B666" s="141" t="s">
        <v>202</v>
      </c>
      <c r="C666" s="76" t="s">
        <v>253</v>
      </c>
      <c r="D666" s="76" t="s">
        <v>249</v>
      </c>
      <c r="E666" s="76" t="s">
        <v>392</v>
      </c>
      <c r="F666" s="78" t="s">
        <v>106</v>
      </c>
      <c r="G666" s="97">
        <f>G667</f>
        <v>150</v>
      </c>
      <c r="H666" s="111">
        <f>H667</f>
        <v>300</v>
      </c>
      <c r="I666" s="111">
        <f>I667</f>
        <v>490</v>
      </c>
      <c r="J666" s="97">
        <v>350</v>
      </c>
      <c r="K666" s="269">
        <v>500</v>
      </c>
      <c r="L666" s="315">
        <f>50-210</f>
        <v>-160</v>
      </c>
      <c r="M666" s="82"/>
      <c r="N666" s="89">
        <f>K666+L666+M666</f>
        <v>340</v>
      </c>
      <c r="O666" s="89"/>
      <c r="P666" s="275"/>
      <c r="Q666" s="448">
        <f>N666+O666+P666</f>
        <v>340</v>
      </c>
      <c r="R666" s="448">
        <v>0</v>
      </c>
      <c r="S666" s="444">
        <f t="shared" si="120"/>
        <v>0</v>
      </c>
    </row>
    <row r="667" spans="1:19" ht="16.5" hidden="1" thickBot="1">
      <c r="A667" s="62"/>
      <c r="B667" s="53"/>
      <c r="C667" s="84"/>
      <c r="D667" s="84"/>
      <c r="E667" s="84"/>
      <c r="F667" s="86" t="s">
        <v>201</v>
      </c>
      <c r="G667" s="97">
        <v>150</v>
      </c>
      <c r="H667" s="111">
        <v>300</v>
      </c>
      <c r="I667" s="111">
        <v>490</v>
      </c>
      <c r="J667" s="97">
        <v>150</v>
      </c>
      <c r="K667" s="269">
        <v>150</v>
      </c>
      <c r="L667" s="315"/>
      <c r="M667" s="82"/>
      <c r="N667" s="89"/>
      <c r="O667" s="89"/>
      <c r="P667" s="275"/>
      <c r="Q667" s="460"/>
      <c r="R667" s="460"/>
      <c r="S667" s="461" t="e">
        <f t="shared" si="120"/>
        <v>#DIV/0!</v>
      </c>
    </row>
    <row r="668" spans="1:19" ht="21" customHeight="1" thickBot="1">
      <c r="A668" s="182" t="s">
        <v>145</v>
      </c>
      <c r="B668" s="183" t="s">
        <v>201</v>
      </c>
      <c r="C668" s="184" t="s">
        <v>255</v>
      </c>
      <c r="D668" s="184" t="s">
        <v>199</v>
      </c>
      <c r="E668" s="184"/>
      <c r="F668" s="186"/>
      <c r="G668" s="198">
        <f aca="true" t="shared" si="127" ref="G668:Q668">G669+G709+G807+G922</f>
        <v>489244.1836800001</v>
      </c>
      <c r="H668" s="198">
        <f t="shared" si="127"/>
        <v>501713.47427809244</v>
      </c>
      <c r="I668" s="198">
        <f t="shared" si="127"/>
        <v>508466.52940367674</v>
      </c>
      <c r="J668" s="198">
        <f t="shared" si="127"/>
        <v>96017.28123999998</v>
      </c>
      <c r="K668" s="284">
        <f t="shared" si="127"/>
        <v>585261.46492</v>
      </c>
      <c r="L668" s="284">
        <f t="shared" si="127"/>
        <v>-439.9999999999999</v>
      </c>
      <c r="M668" s="284">
        <f t="shared" si="127"/>
        <v>18348.62464</v>
      </c>
      <c r="N668" s="284">
        <f t="shared" si="127"/>
        <v>603170.08956</v>
      </c>
      <c r="O668" s="284">
        <f t="shared" si="127"/>
        <v>879.3792800000006</v>
      </c>
      <c r="P668" s="284">
        <f t="shared" si="127"/>
        <v>107931.15672</v>
      </c>
      <c r="Q668" s="462">
        <f t="shared" si="127"/>
        <v>620339.8355599999</v>
      </c>
      <c r="R668" s="463">
        <f>R669+R709+R807+R922</f>
        <v>610722.3200200001</v>
      </c>
      <c r="S668" s="464">
        <f t="shared" si="120"/>
        <v>98.44963760366642</v>
      </c>
    </row>
    <row r="669" spans="1:19" ht="16.5" customHeight="1" thickBot="1">
      <c r="A669" s="17" t="s">
        <v>393</v>
      </c>
      <c r="B669" s="18" t="s">
        <v>299</v>
      </c>
      <c r="C669" s="19" t="s">
        <v>255</v>
      </c>
      <c r="D669" s="19" t="s">
        <v>198</v>
      </c>
      <c r="E669" s="19"/>
      <c r="F669" s="21"/>
      <c r="G669" s="199">
        <f aca="true" t="shared" si="128" ref="G669:M669">G670+G695+G700+G705+G693</f>
        <v>91949.28</v>
      </c>
      <c r="H669" s="199">
        <f t="shared" si="128"/>
        <v>87846.44698110962</v>
      </c>
      <c r="I669" s="199">
        <f t="shared" si="128"/>
        <v>91158.24097855049</v>
      </c>
      <c r="J669" s="199">
        <f t="shared" si="128"/>
        <v>23831.43079</v>
      </c>
      <c r="K669" s="285">
        <f t="shared" si="128"/>
        <v>115780.71079000001</v>
      </c>
      <c r="L669" s="285">
        <f t="shared" si="128"/>
        <v>-528.559</v>
      </c>
      <c r="M669" s="285">
        <f t="shared" si="128"/>
        <v>6905.0069</v>
      </c>
      <c r="N669" s="285">
        <f>N670+N695+N700+N705+N693</f>
        <v>122157.15869000003</v>
      </c>
      <c r="O669" s="285">
        <f>O670+O695+O700+O705+O693</f>
        <v>3300.26589</v>
      </c>
      <c r="P669" s="285">
        <f>P670+P695+P700+P705+P693</f>
        <v>104834.69072</v>
      </c>
      <c r="Q669" s="467">
        <f>Q670+Q695+Q700+Q705+Q693+Q688+Q690</f>
        <v>142578.68328000003</v>
      </c>
      <c r="R669" s="467">
        <f>R670+R695+R700+R705+R693+R688+R690</f>
        <v>137096.0689</v>
      </c>
      <c r="S669" s="468">
        <f t="shared" si="120"/>
        <v>96.15467456012826</v>
      </c>
    </row>
    <row r="670" spans="1:19" ht="16.5" customHeight="1">
      <c r="A670" s="65" t="s">
        <v>394</v>
      </c>
      <c r="B670" s="66" t="s">
        <v>299</v>
      </c>
      <c r="C670" s="67" t="s">
        <v>255</v>
      </c>
      <c r="D670" s="67" t="s">
        <v>198</v>
      </c>
      <c r="E670" s="67" t="s">
        <v>395</v>
      </c>
      <c r="F670" s="69"/>
      <c r="G670" s="200">
        <f aca="true" t="shared" si="129" ref="G670:R670">G671</f>
        <v>91949.28</v>
      </c>
      <c r="H670" s="200">
        <f t="shared" si="129"/>
        <v>87846.44698110962</v>
      </c>
      <c r="I670" s="200">
        <f t="shared" si="129"/>
        <v>91158.24097855049</v>
      </c>
      <c r="J670" s="200">
        <f t="shared" si="129"/>
        <v>13207.097789999998</v>
      </c>
      <c r="K670" s="286">
        <f t="shared" si="129"/>
        <v>105156.37779000001</v>
      </c>
      <c r="L670" s="286">
        <f t="shared" si="129"/>
        <v>-178</v>
      </c>
      <c r="M670" s="286">
        <f t="shared" si="129"/>
        <v>6905.0069</v>
      </c>
      <c r="N670" s="286">
        <f t="shared" si="129"/>
        <v>111883.38469000002</v>
      </c>
      <c r="O670" s="286">
        <f t="shared" si="129"/>
        <v>3403.61728</v>
      </c>
      <c r="P670" s="286">
        <f t="shared" si="129"/>
        <v>93427</v>
      </c>
      <c r="Q670" s="471">
        <f t="shared" si="129"/>
        <v>117948.47480000001</v>
      </c>
      <c r="R670" s="472">
        <f t="shared" si="129"/>
        <v>112465.86050000001</v>
      </c>
      <c r="S670" s="473">
        <f t="shared" si="120"/>
        <v>95.35168698934291</v>
      </c>
    </row>
    <row r="671" spans="1:19" ht="29.25" customHeight="1">
      <c r="A671" s="109" t="s">
        <v>184</v>
      </c>
      <c r="B671" s="99" t="s">
        <v>299</v>
      </c>
      <c r="C671" s="112" t="s">
        <v>255</v>
      </c>
      <c r="D671" s="112" t="s">
        <v>198</v>
      </c>
      <c r="E671" s="112" t="s">
        <v>397</v>
      </c>
      <c r="F671" s="104"/>
      <c r="G671" s="88">
        <f aca="true" t="shared" si="130" ref="G671:N671">G673+G672</f>
        <v>91949.28</v>
      </c>
      <c r="H671" s="88">
        <f t="shared" si="130"/>
        <v>87846.44698110962</v>
      </c>
      <c r="I671" s="88">
        <f t="shared" si="130"/>
        <v>91158.24097855049</v>
      </c>
      <c r="J671" s="88">
        <f t="shared" si="130"/>
        <v>13207.097789999998</v>
      </c>
      <c r="K671" s="290">
        <f t="shared" si="130"/>
        <v>105156.37779000001</v>
      </c>
      <c r="L671" s="290">
        <f t="shared" si="130"/>
        <v>-178</v>
      </c>
      <c r="M671" s="290">
        <f t="shared" si="130"/>
        <v>6905.0069</v>
      </c>
      <c r="N671" s="290">
        <f t="shared" si="130"/>
        <v>111883.38469000002</v>
      </c>
      <c r="O671" s="290">
        <f>O673+O672</f>
        <v>3403.61728</v>
      </c>
      <c r="P671" s="290">
        <f>P673+P672</f>
        <v>93427</v>
      </c>
      <c r="Q671" s="474">
        <f>Q673+Q672</f>
        <v>117948.47480000001</v>
      </c>
      <c r="R671" s="449">
        <f>R673+R672</f>
        <v>112465.86050000001</v>
      </c>
      <c r="S671" s="465">
        <f t="shared" si="120"/>
        <v>95.35168698934291</v>
      </c>
    </row>
    <row r="672" spans="1:19" ht="15.75" customHeight="1">
      <c r="A672" s="195" t="s">
        <v>124</v>
      </c>
      <c r="B672" s="214" t="s">
        <v>299</v>
      </c>
      <c r="C672" s="91" t="s">
        <v>255</v>
      </c>
      <c r="D672" s="91" t="s">
        <v>198</v>
      </c>
      <c r="E672" s="91" t="s">
        <v>397</v>
      </c>
      <c r="F672" s="93" t="s">
        <v>238</v>
      </c>
      <c r="G672" s="89">
        <v>201.6</v>
      </c>
      <c r="H672" s="82">
        <v>201.6</v>
      </c>
      <c r="I672" s="82">
        <v>201.6</v>
      </c>
      <c r="J672" s="89"/>
      <c r="K672" s="275">
        <v>201.6</v>
      </c>
      <c r="L672" s="315"/>
      <c r="M672" s="82"/>
      <c r="N672" s="89">
        <f>K672+L672+M672</f>
        <v>201.6</v>
      </c>
      <c r="O672" s="378">
        <v>-42.996</v>
      </c>
      <c r="P672" s="275"/>
      <c r="Q672" s="487">
        <f>N672+O672+P672</f>
        <v>158.60399999999998</v>
      </c>
      <c r="R672" s="448">
        <v>158.604</v>
      </c>
      <c r="S672" s="444">
        <f t="shared" si="120"/>
        <v>100.00000000000003</v>
      </c>
    </row>
    <row r="673" spans="1:19" ht="15.75" customHeight="1" thickBot="1">
      <c r="A673" s="397" t="s">
        <v>120</v>
      </c>
      <c r="B673" s="210" t="s">
        <v>299</v>
      </c>
      <c r="C673" s="118" t="s">
        <v>255</v>
      </c>
      <c r="D673" s="118" t="s">
        <v>198</v>
      </c>
      <c r="E673" s="118" t="s">
        <v>397</v>
      </c>
      <c r="F673" s="119" t="s">
        <v>112</v>
      </c>
      <c r="G673" s="94">
        <f aca="true" t="shared" si="131" ref="G673:N673">G674+G676+G677+G679+G681+G682+G683+G684+G685+G686+G687+G680+G675+G678</f>
        <v>91747.68</v>
      </c>
      <c r="H673" s="94">
        <f t="shared" si="131"/>
        <v>87644.84698110961</v>
      </c>
      <c r="I673" s="94">
        <f t="shared" si="131"/>
        <v>90956.64097855048</v>
      </c>
      <c r="J673" s="94">
        <f t="shared" si="131"/>
        <v>13207.097789999998</v>
      </c>
      <c r="K673" s="291">
        <f t="shared" si="131"/>
        <v>104954.77779000001</v>
      </c>
      <c r="L673" s="291">
        <f t="shared" si="131"/>
        <v>-178</v>
      </c>
      <c r="M673" s="291">
        <f t="shared" si="131"/>
        <v>6905.0069</v>
      </c>
      <c r="N673" s="291">
        <f t="shared" si="131"/>
        <v>111681.78469000001</v>
      </c>
      <c r="O673" s="291">
        <f>O674+O676+O677+O679+O681+O682+O683+O684+O685+O686+O687+O680+O675+O678</f>
        <v>3446.61328</v>
      </c>
      <c r="P673" s="291">
        <f>P674+P676+P677+P679+P681+P682+P683+P684+P685+P686+P687+P680+P675+P678</f>
        <v>93427</v>
      </c>
      <c r="Q673" s="488">
        <v>117789.8708</v>
      </c>
      <c r="R673" s="489">
        <v>112307.2565</v>
      </c>
      <c r="S673" s="477">
        <f t="shared" si="120"/>
        <v>95.34542803828255</v>
      </c>
    </row>
    <row r="674" spans="1:19" ht="12.75" customHeight="1" hidden="1">
      <c r="A674" s="139"/>
      <c r="B674" s="99"/>
      <c r="C674" s="100"/>
      <c r="D674" s="100"/>
      <c r="E674" s="100"/>
      <c r="F674" s="101" t="s">
        <v>215</v>
      </c>
      <c r="G674" s="102">
        <v>28294.75133</v>
      </c>
      <c r="H674" s="137">
        <f>56772*0.91</f>
        <v>51662.520000000004</v>
      </c>
      <c r="I674" s="137">
        <f>56772*0.95</f>
        <v>53933.399999999994</v>
      </c>
      <c r="J674" s="102">
        <v>4916.75637</v>
      </c>
      <c r="K674" s="280">
        <v>33211.5077</v>
      </c>
      <c r="L674" s="331"/>
      <c r="M674" s="137">
        <v>3682.09661</v>
      </c>
      <c r="N674" s="102">
        <f>K674+L674+M674</f>
        <v>36893.60431</v>
      </c>
      <c r="O674" s="396">
        <v>-1190.46662</v>
      </c>
      <c r="P674" s="280"/>
      <c r="Q674" s="485">
        <f>N674+O674+P674</f>
        <v>35703.13769</v>
      </c>
      <c r="R674" s="485">
        <f>O674+P674+Q674</f>
        <v>34512.671070000004</v>
      </c>
      <c r="S674" s="470">
        <f t="shared" si="120"/>
        <v>96.66565266521818</v>
      </c>
    </row>
    <row r="675" spans="1:19" ht="12.75" customHeight="1" hidden="1">
      <c r="A675" s="146"/>
      <c r="B675" s="30"/>
      <c r="C675" s="79"/>
      <c r="D675" s="79"/>
      <c r="E675" s="79" t="s">
        <v>493</v>
      </c>
      <c r="F675" s="81" t="s">
        <v>215</v>
      </c>
      <c r="G675" s="89">
        <v>26429.38137</v>
      </c>
      <c r="H675" s="82"/>
      <c r="I675" s="82"/>
      <c r="J675" s="89">
        <v>2478.04184</v>
      </c>
      <c r="K675" s="275">
        <v>28907.42321</v>
      </c>
      <c r="L675" s="315"/>
      <c r="M675" s="82"/>
      <c r="N675" s="89">
        <f aca="true" t="shared" si="132" ref="N675:R687">K675+L675+M675</f>
        <v>28907.42321</v>
      </c>
      <c r="O675" s="89">
        <v>3545.31602</v>
      </c>
      <c r="P675" s="275"/>
      <c r="Q675" s="448">
        <f t="shared" si="132"/>
        <v>32452.73923</v>
      </c>
      <c r="R675" s="448">
        <f t="shared" si="132"/>
        <v>35998.05525</v>
      </c>
      <c r="S675" s="459">
        <f t="shared" si="120"/>
        <v>110.92455091347924</v>
      </c>
    </row>
    <row r="676" spans="1:19" ht="16.5" hidden="1" thickBot="1">
      <c r="A676" s="146"/>
      <c r="B676" s="30"/>
      <c r="C676" s="79"/>
      <c r="D676" s="79"/>
      <c r="E676" s="79"/>
      <c r="F676" s="81" t="s">
        <v>216</v>
      </c>
      <c r="G676" s="89">
        <v>0</v>
      </c>
      <c r="H676" s="82">
        <f>47*0.91</f>
        <v>42.77</v>
      </c>
      <c r="I676" s="82">
        <f>50*0.95</f>
        <v>47.5</v>
      </c>
      <c r="J676" s="89"/>
      <c r="K676" s="275">
        <f>G676+J676</f>
        <v>0</v>
      </c>
      <c r="L676" s="315"/>
      <c r="M676" s="82"/>
      <c r="N676" s="89">
        <f t="shared" si="132"/>
        <v>0</v>
      </c>
      <c r="O676" s="89"/>
      <c r="P676" s="275">
        <f t="shared" si="132"/>
        <v>0</v>
      </c>
      <c r="Q676" s="448">
        <f t="shared" si="132"/>
        <v>0</v>
      </c>
      <c r="R676" s="448">
        <f t="shared" si="132"/>
        <v>0</v>
      </c>
      <c r="S676" s="459" t="e">
        <f t="shared" si="120"/>
        <v>#DIV/0!</v>
      </c>
    </row>
    <row r="677" spans="1:19" ht="16.5" hidden="1" thickBot="1">
      <c r="A677" s="106"/>
      <c r="B677" s="71"/>
      <c r="C677" s="76"/>
      <c r="D677" s="76"/>
      <c r="E677" s="76"/>
      <c r="F677" s="78" t="s">
        <v>217</v>
      </c>
      <c r="G677" s="89">
        <v>8545.01491</v>
      </c>
      <c r="H677" s="82">
        <f>17145*0.91</f>
        <v>15601.95</v>
      </c>
      <c r="I677" s="82">
        <f>17145*0.95</f>
        <v>16287.75</v>
      </c>
      <c r="J677" s="89">
        <v>1501.34703</v>
      </c>
      <c r="K677" s="275">
        <v>10046.36194</v>
      </c>
      <c r="L677" s="315"/>
      <c r="M677" s="82">
        <v>216.92429</v>
      </c>
      <c r="N677" s="89">
        <f t="shared" si="132"/>
        <v>10263.286230000002</v>
      </c>
      <c r="O677" s="378">
        <v>413.23013</v>
      </c>
      <c r="P677" s="275"/>
      <c r="Q677" s="448">
        <f t="shared" si="132"/>
        <v>10676.516360000001</v>
      </c>
      <c r="R677" s="448">
        <f t="shared" si="132"/>
        <v>11089.746490000001</v>
      </c>
      <c r="S677" s="459">
        <f t="shared" si="120"/>
        <v>103.87045845354747</v>
      </c>
    </row>
    <row r="678" spans="1:19" ht="16.5" hidden="1" thickBot="1">
      <c r="A678" s="146"/>
      <c r="B678" s="30"/>
      <c r="C678" s="79"/>
      <c r="D678" s="79"/>
      <c r="E678" s="79" t="s">
        <v>493</v>
      </c>
      <c r="F678" s="81" t="s">
        <v>217</v>
      </c>
      <c r="G678" s="89">
        <v>7981.67317</v>
      </c>
      <c r="H678" s="82"/>
      <c r="I678" s="82"/>
      <c r="J678" s="89">
        <v>738.26069</v>
      </c>
      <c r="K678" s="275">
        <v>8719.93386</v>
      </c>
      <c r="L678" s="315"/>
      <c r="M678" s="82"/>
      <c r="N678" s="89">
        <f t="shared" si="132"/>
        <v>8719.93386</v>
      </c>
      <c r="O678" s="378">
        <v>-533.19742</v>
      </c>
      <c r="P678" s="275"/>
      <c r="Q678" s="448">
        <f t="shared" si="132"/>
        <v>8186.736439999999</v>
      </c>
      <c r="R678" s="448">
        <f t="shared" si="132"/>
        <v>7653.539019999998</v>
      </c>
      <c r="S678" s="459">
        <f t="shared" si="120"/>
        <v>93.48705770721011</v>
      </c>
    </row>
    <row r="679" spans="1:19" ht="16.5" hidden="1" thickBot="1">
      <c r="A679" s="146"/>
      <c r="B679" s="30"/>
      <c r="C679" s="79"/>
      <c r="D679" s="79"/>
      <c r="E679" s="79"/>
      <c r="F679" s="81" t="s">
        <v>233</v>
      </c>
      <c r="G679" s="89">
        <v>148.59227</v>
      </c>
      <c r="H679" s="82">
        <f>210*0.91</f>
        <v>191.1</v>
      </c>
      <c r="I679" s="82">
        <f>221*0.95</f>
        <v>209.95</v>
      </c>
      <c r="J679" s="89">
        <v>-25.29158</v>
      </c>
      <c r="K679" s="275">
        <v>123.30069</v>
      </c>
      <c r="L679" s="315"/>
      <c r="M679" s="82"/>
      <c r="N679" s="89">
        <f t="shared" si="132"/>
        <v>123.30069</v>
      </c>
      <c r="O679" s="89">
        <v>1.48788</v>
      </c>
      <c r="P679" s="275"/>
      <c r="Q679" s="448">
        <f t="shared" si="132"/>
        <v>124.78857</v>
      </c>
      <c r="R679" s="448">
        <f t="shared" si="132"/>
        <v>126.27645000000001</v>
      </c>
      <c r="S679" s="459">
        <f t="shared" si="120"/>
        <v>101.19232073899076</v>
      </c>
    </row>
    <row r="680" spans="1:19" ht="16.5" hidden="1" thickBot="1">
      <c r="A680" s="146"/>
      <c r="B680" s="30"/>
      <c r="C680" s="79"/>
      <c r="D680" s="79"/>
      <c r="E680" s="79"/>
      <c r="F680" s="81" t="s">
        <v>234</v>
      </c>
      <c r="G680" s="89">
        <v>0</v>
      </c>
      <c r="H680" s="82">
        <f>37*0.91</f>
        <v>33.67</v>
      </c>
      <c r="I680" s="82">
        <f>39*0.95</f>
        <v>37.05</v>
      </c>
      <c r="J680" s="89"/>
      <c r="K680" s="275">
        <f>G680+J680</f>
        <v>0</v>
      </c>
      <c r="L680" s="315"/>
      <c r="M680" s="82"/>
      <c r="N680" s="89">
        <f t="shared" si="132"/>
        <v>0</v>
      </c>
      <c r="O680" s="89">
        <f t="shared" si="132"/>
        <v>0</v>
      </c>
      <c r="P680" s="275">
        <f t="shared" si="132"/>
        <v>0</v>
      </c>
      <c r="Q680" s="448">
        <f t="shared" si="132"/>
        <v>0</v>
      </c>
      <c r="R680" s="448">
        <f t="shared" si="132"/>
        <v>0</v>
      </c>
      <c r="S680" s="459" t="e">
        <f t="shared" si="120"/>
        <v>#DIV/0!</v>
      </c>
    </row>
    <row r="681" spans="1:19" ht="16.5" hidden="1" thickBot="1">
      <c r="A681" s="106"/>
      <c r="B681" s="71"/>
      <c r="C681" s="76"/>
      <c r="D681" s="76"/>
      <c r="E681" s="76"/>
      <c r="F681" s="78" t="s">
        <v>244</v>
      </c>
      <c r="G681" s="89">
        <v>6104.73367</v>
      </c>
      <c r="H681" s="82">
        <f>G681*1.1*0.91</f>
        <v>6110.83840367</v>
      </c>
      <c r="I681" s="82">
        <f>H681*1.108*0.95</f>
        <v>6432.268503703042</v>
      </c>
      <c r="J681" s="89">
        <v>2054.66673</v>
      </c>
      <c r="K681" s="275">
        <v>8159.4</v>
      </c>
      <c r="L681" s="315">
        <v>100</v>
      </c>
      <c r="M681" s="82">
        <v>748.6</v>
      </c>
      <c r="N681" s="89">
        <f t="shared" si="132"/>
        <v>9008</v>
      </c>
      <c r="O681" s="378">
        <f>-200+1489.60062</f>
        <v>1289.60062</v>
      </c>
      <c r="P681" s="275"/>
      <c r="Q681" s="448">
        <f t="shared" si="132"/>
        <v>10297.60062</v>
      </c>
      <c r="R681" s="448">
        <f t="shared" si="132"/>
        <v>11587.201239999999</v>
      </c>
      <c r="S681" s="459">
        <f t="shared" si="120"/>
        <v>112.5233116683059</v>
      </c>
    </row>
    <row r="682" spans="1:19" ht="16.5" hidden="1" thickBot="1">
      <c r="A682" s="146"/>
      <c r="B682" s="30"/>
      <c r="C682" s="79"/>
      <c r="D682" s="79"/>
      <c r="E682" s="79"/>
      <c r="F682" s="81" t="s">
        <v>245</v>
      </c>
      <c r="G682" s="89">
        <v>130.21925</v>
      </c>
      <c r="H682" s="82">
        <f>138*0.91</f>
        <v>125.58</v>
      </c>
      <c r="I682" s="82">
        <f>145*0.95</f>
        <v>137.75</v>
      </c>
      <c r="J682" s="89">
        <v>-19.57269</v>
      </c>
      <c r="K682" s="275">
        <v>110.64656</v>
      </c>
      <c r="L682" s="315"/>
      <c r="M682" s="82"/>
      <c r="N682" s="89">
        <f t="shared" si="132"/>
        <v>110.64656</v>
      </c>
      <c r="O682" s="378">
        <v>13.51094</v>
      </c>
      <c r="P682" s="275"/>
      <c r="Q682" s="448">
        <f t="shared" si="132"/>
        <v>124.1575</v>
      </c>
      <c r="R682" s="448">
        <f t="shared" si="132"/>
        <v>137.66844</v>
      </c>
      <c r="S682" s="459">
        <f t="shared" si="120"/>
        <v>110.88209733604495</v>
      </c>
    </row>
    <row r="683" spans="1:19" ht="16.5" hidden="1" thickBot="1">
      <c r="A683" s="106"/>
      <c r="B683" s="71"/>
      <c r="C683" s="76"/>
      <c r="D683" s="76"/>
      <c r="E683" s="76"/>
      <c r="F683" s="78" t="s">
        <v>235</v>
      </c>
      <c r="G683" s="89">
        <f>982.90527+2255.75494</f>
        <v>3238.66021</v>
      </c>
      <c r="H683" s="82">
        <f>G683*1.052*0.91</f>
        <v>3100.4341922372</v>
      </c>
      <c r="I683" s="82">
        <f>H683*1.049*0.95</f>
        <v>3089.7376942739816</v>
      </c>
      <c r="J683" s="89">
        <f>-1144.45063+536.71</f>
        <v>-607.74063</v>
      </c>
      <c r="K683" s="275">
        <f>854.78529+1239.42429+563.71</f>
        <v>2657.9195799999998</v>
      </c>
      <c r="L683" s="315">
        <v>-2</v>
      </c>
      <c r="M683" s="82">
        <f>151.46+618</f>
        <v>769.46</v>
      </c>
      <c r="N683" s="89">
        <f t="shared" si="132"/>
        <v>3425.37958</v>
      </c>
      <c r="O683" s="89">
        <f>200-745.33908</f>
        <v>-545.33908</v>
      </c>
      <c r="P683" s="275"/>
      <c r="Q683" s="448">
        <f t="shared" si="132"/>
        <v>2880.0405</v>
      </c>
      <c r="R683" s="448">
        <f t="shared" si="132"/>
        <v>2334.7014200000003</v>
      </c>
      <c r="S683" s="459">
        <f t="shared" si="120"/>
        <v>81.06488155288095</v>
      </c>
    </row>
    <row r="684" spans="1:19" ht="16.5" hidden="1" thickBot="1">
      <c r="A684" s="146"/>
      <c r="B684" s="30"/>
      <c r="C684" s="79"/>
      <c r="D684" s="79"/>
      <c r="E684" s="79"/>
      <c r="F684" s="81" t="s">
        <v>236</v>
      </c>
      <c r="G684" s="89">
        <v>71.668</v>
      </c>
      <c r="H684" s="82">
        <f>477*0.91</f>
        <v>434.07</v>
      </c>
      <c r="I684" s="82">
        <f>500*0.95</f>
        <v>475</v>
      </c>
      <c r="J684" s="89">
        <f>2335.85596-418</f>
        <v>1917.8559599999999</v>
      </c>
      <c r="K684" s="275">
        <f>1406.14896+583.375+823.924</f>
        <v>2813.44796</v>
      </c>
      <c r="L684" s="315"/>
      <c r="M684" s="82"/>
      <c r="N684" s="89">
        <f t="shared" si="132"/>
        <v>2813.44796</v>
      </c>
      <c r="O684" s="378">
        <v>-497.31566</v>
      </c>
      <c r="P684" s="275">
        <v>327</v>
      </c>
      <c r="Q684" s="448">
        <f t="shared" si="132"/>
        <v>2643.1323</v>
      </c>
      <c r="R684" s="448">
        <f t="shared" si="132"/>
        <v>2472.81664</v>
      </c>
      <c r="S684" s="459">
        <f t="shared" si="120"/>
        <v>93.55629455248985</v>
      </c>
    </row>
    <row r="685" spans="1:19" ht="16.5" hidden="1" thickBot="1">
      <c r="A685" s="106"/>
      <c r="B685" s="71"/>
      <c r="C685" s="76"/>
      <c r="D685" s="76"/>
      <c r="E685" s="76"/>
      <c r="F685" s="78" t="s">
        <v>237</v>
      </c>
      <c r="G685" s="89">
        <f>473.06648+18.10335</f>
        <v>491.16983</v>
      </c>
      <c r="H685" s="82">
        <f>G685*1.052*0.91</f>
        <v>470.2067016556</v>
      </c>
      <c r="I685" s="82">
        <f>H685*1.049*0.95</f>
        <v>468.5844885348881</v>
      </c>
      <c r="J685" s="89">
        <v>39.40526</v>
      </c>
      <c r="K685" s="275">
        <f>518.51855+12.05654</f>
        <v>530.57509</v>
      </c>
      <c r="L685" s="315">
        <v>2</v>
      </c>
      <c r="M685" s="82">
        <v>487.926</v>
      </c>
      <c r="N685" s="89">
        <f t="shared" si="132"/>
        <v>1020.50109</v>
      </c>
      <c r="O685" s="378">
        <v>-5.15455</v>
      </c>
      <c r="P685" s="275"/>
      <c r="Q685" s="448">
        <f t="shared" si="132"/>
        <v>1015.34654</v>
      </c>
      <c r="R685" s="448">
        <f t="shared" si="132"/>
        <v>1010.19199</v>
      </c>
      <c r="S685" s="459">
        <f t="shared" si="120"/>
        <v>99.4923358876074</v>
      </c>
    </row>
    <row r="686" spans="1:19" ht="16.5" hidden="1" thickBot="1">
      <c r="A686" s="106"/>
      <c r="B686" s="71"/>
      <c r="C686" s="76"/>
      <c r="D686" s="76"/>
      <c r="E686" s="76"/>
      <c r="F686" s="78" t="s">
        <v>238</v>
      </c>
      <c r="G686" s="89">
        <v>0</v>
      </c>
      <c r="H686" s="82">
        <f>G686*1.052*0.91</f>
        <v>0</v>
      </c>
      <c r="I686" s="82">
        <f>H686*1.049*0.95</f>
        <v>0</v>
      </c>
      <c r="J686" s="89">
        <v>526.164</v>
      </c>
      <c r="K686" s="275">
        <f>526.164+55.067</f>
        <v>581.231</v>
      </c>
      <c r="L686" s="315"/>
      <c r="M686" s="82">
        <v>1000</v>
      </c>
      <c r="N686" s="89">
        <f t="shared" si="132"/>
        <v>1581.231</v>
      </c>
      <c r="O686" s="378">
        <f>580.006-83.69824</f>
        <v>496.30776</v>
      </c>
      <c r="P686" s="275">
        <v>93100</v>
      </c>
      <c r="Q686" s="448">
        <f t="shared" si="132"/>
        <v>95177.53876</v>
      </c>
      <c r="R686" s="448">
        <f t="shared" si="132"/>
        <v>188773.84652</v>
      </c>
      <c r="S686" s="459">
        <f t="shared" si="120"/>
        <v>198.33865109289363</v>
      </c>
    </row>
    <row r="687" spans="1:19" ht="17.25" customHeight="1" hidden="1" thickBot="1">
      <c r="A687" s="146"/>
      <c r="B687" s="30"/>
      <c r="C687" s="79"/>
      <c r="D687" s="79"/>
      <c r="E687" s="79"/>
      <c r="F687" s="81" t="s">
        <v>239</v>
      </c>
      <c r="G687" s="97">
        <f>10193.564+118.25199</f>
        <v>10311.815990000001</v>
      </c>
      <c r="H687" s="111">
        <f>G687*1.052*0.91</f>
        <v>9871.707683546801</v>
      </c>
      <c r="I687" s="111">
        <f>H687*1.049*0.95</f>
        <v>9837.650292038565</v>
      </c>
      <c r="J687" s="97">
        <v>-312.79519</v>
      </c>
      <c r="K687" s="269">
        <f>8954.9584+138.0718</f>
        <v>9093.0302</v>
      </c>
      <c r="L687" s="326">
        <v>-278</v>
      </c>
      <c r="M687" s="111"/>
      <c r="N687" s="97">
        <f t="shared" si="132"/>
        <v>8815.0302</v>
      </c>
      <c r="O687" s="97">
        <v>458.63326</v>
      </c>
      <c r="P687" s="269"/>
      <c r="Q687" s="448">
        <f t="shared" si="132"/>
        <v>9273.66346</v>
      </c>
      <c r="R687" s="448">
        <f t="shared" si="132"/>
        <v>9732.29672</v>
      </c>
      <c r="S687" s="459">
        <f t="shared" si="120"/>
        <v>104.94554565170733</v>
      </c>
    </row>
    <row r="688" spans="1:19" ht="17.25" customHeight="1">
      <c r="A688" s="138" t="s">
        <v>552</v>
      </c>
      <c r="B688" s="276" t="s">
        <v>299</v>
      </c>
      <c r="C688" s="67" t="s">
        <v>255</v>
      </c>
      <c r="D688" s="67" t="s">
        <v>198</v>
      </c>
      <c r="E688" s="251" t="s">
        <v>553</v>
      </c>
      <c r="F688" s="505"/>
      <c r="G688" s="97"/>
      <c r="H688" s="97"/>
      <c r="I688" s="97"/>
      <c r="J688" s="97"/>
      <c r="K688" s="269"/>
      <c r="L688" s="269"/>
      <c r="M688" s="269"/>
      <c r="N688" s="269"/>
      <c r="O688" s="269"/>
      <c r="P688" s="269"/>
      <c r="Q688" s="449">
        <f>Q689</f>
        <v>2933</v>
      </c>
      <c r="R688" s="449">
        <f>R689</f>
        <v>2933</v>
      </c>
      <c r="S688" s="459">
        <f t="shared" si="120"/>
        <v>100</v>
      </c>
    </row>
    <row r="689" spans="1:19" ht="17.25" customHeight="1" thickBot="1">
      <c r="A689" s="445" t="s">
        <v>120</v>
      </c>
      <c r="B689" s="446" t="s">
        <v>299</v>
      </c>
      <c r="C689" s="118" t="s">
        <v>255</v>
      </c>
      <c r="D689" s="118" t="s">
        <v>198</v>
      </c>
      <c r="E689" s="403" t="s">
        <v>553</v>
      </c>
      <c r="F689" s="506" t="s">
        <v>112</v>
      </c>
      <c r="G689" s="97"/>
      <c r="H689" s="97"/>
      <c r="I689" s="97"/>
      <c r="J689" s="97"/>
      <c r="K689" s="269"/>
      <c r="L689" s="269"/>
      <c r="M689" s="269"/>
      <c r="N689" s="269"/>
      <c r="O689" s="269"/>
      <c r="P689" s="269"/>
      <c r="Q689" s="460">
        <v>2933</v>
      </c>
      <c r="R689" s="460">
        <v>2933</v>
      </c>
      <c r="S689" s="491">
        <f t="shared" si="120"/>
        <v>100</v>
      </c>
    </row>
    <row r="690" spans="1:19" ht="17.25" customHeight="1">
      <c r="A690" s="447" t="s">
        <v>291</v>
      </c>
      <c r="B690" s="66" t="s">
        <v>299</v>
      </c>
      <c r="C690" s="67" t="s">
        <v>255</v>
      </c>
      <c r="D690" s="67" t="s">
        <v>198</v>
      </c>
      <c r="E690" s="251" t="s">
        <v>292</v>
      </c>
      <c r="F690" s="505"/>
      <c r="G690" s="504"/>
      <c r="H690" s="499"/>
      <c r="I690" s="499"/>
      <c r="J690" s="499"/>
      <c r="K690" s="499"/>
      <c r="L690" s="499"/>
      <c r="M690" s="499"/>
      <c r="N690" s="499"/>
      <c r="O690" s="499"/>
      <c r="P690" s="500"/>
      <c r="Q690" s="472">
        <f>Q691</f>
        <v>119.09515</v>
      </c>
      <c r="R690" s="472">
        <f>R691</f>
        <v>119.09515</v>
      </c>
      <c r="S690" s="473">
        <f t="shared" si="120"/>
        <v>100</v>
      </c>
    </row>
    <row r="691" spans="1:19" ht="31.5" customHeight="1">
      <c r="A691" s="50" t="s">
        <v>557</v>
      </c>
      <c r="B691" s="30" t="s">
        <v>299</v>
      </c>
      <c r="C691" s="31" t="s">
        <v>255</v>
      </c>
      <c r="D691" s="31" t="s">
        <v>198</v>
      </c>
      <c r="E691" s="267" t="s">
        <v>469</v>
      </c>
      <c r="F691" s="501"/>
      <c r="G691" s="208"/>
      <c r="H691" s="158"/>
      <c r="I691" s="158"/>
      <c r="J691" s="158"/>
      <c r="K691" s="158"/>
      <c r="L691" s="158"/>
      <c r="M691" s="158"/>
      <c r="N691" s="158"/>
      <c r="O691" s="158"/>
      <c r="P691" s="294"/>
      <c r="Q691" s="449">
        <f>Q692</f>
        <v>119.09515</v>
      </c>
      <c r="R691" s="449">
        <f>R692</f>
        <v>119.09515</v>
      </c>
      <c r="S691" s="465">
        <f t="shared" si="120"/>
        <v>100</v>
      </c>
    </row>
    <row r="692" spans="1:19" ht="16.5" customHeight="1">
      <c r="A692" s="213" t="s">
        <v>120</v>
      </c>
      <c r="B692" s="220" t="s">
        <v>299</v>
      </c>
      <c r="C692" s="79" t="s">
        <v>255</v>
      </c>
      <c r="D692" s="79" t="s">
        <v>198</v>
      </c>
      <c r="E692" s="155" t="s">
        <v>469</v>
      </c>
      <c r="F692" s="507" t="s">
        <v>112</v>
      </c>
      <c r="G692" s="205"/>
      <c r="H692" s="205"/>
      <c r="I692" s="205"/>
      <c r="J692" s="205"/>
      <c r="K692" s="174"/>
      <c r="L692" s="174"/>
      <c r="M692" s="174"/>
      <c r="N692" s="174"/>
      <c r="O692" s="174"/>
      <c r="P692" s="174"/>
      <c r="Q692" s="448">
        <v>119.09515</v>
      </c>
      <c r="R692" s="448">
        <v>119.09515</v>
      </c>
      <c r="S692" s="444">
        <f t="shared" si="120"/>
        <v>100</v>
      </c>
    </row>
    <row r="693" spans="1:19" ht="16.5" customHeight="1">
      <c r="A693" s="105" t="s">
        <v>507</v>
      </c>
      <c r="B693" s="71" t="s">
        <v>299</v>
      </c>
      <c r="C693" s="72" t="s">
        <v>255</v>
      </c>
      <c r="D693" s="72" t="s">
        <v>198</v>
      </c>
      <c r="E693" s="262" t="s">
        <v>508</v>
      </c>
      <c r="F693" s="501"/>
      <c r="G693" s="96">
        <f aca="true" t="shared" si="133" ref="G693:R693">G694</f>
        <v>0</v>
      </c>
      <c r="H693" s="96">
        <f t="shared" si="133"/>
        <v>0</v>
      </c>
      <c r="I693" s="96">
        <f t="shared" si="133"/>
        <v>0</v>
      </c>
      <c r="J693" s="96">
        <f t="shared" si="133"/>
        <v>1697.7</v>
      </c>
      <c r="K693" s="287">
        <f t="shared" si="133"/>
        <v>1697.7</v>
      </c>
      <c r="L693" s="287">
        <f t="shared" si="133"/>
        <v>-350.559</v>
      </c>
      <c r="M693" s="287">
        <f t="shared" si="133"/>
        <v>0</v>
      </c>
      <c r="N693" s="287">
        <f t="shared" si="133"/>
        <v>1347.141</v>
      </c>
      <c r="O693" s="287">
        <f t="shared" si="133"/>
        <v>-103.35139</v>
      </c>
      <c r="P693" s="287">
        <f t="shared" si="133"/>
        <v>0</v>
      </c>
      <c r="Q693" s="449">
        <f t="shared" si="133"/>
        <v>1243.78961</v>
      </c>
      <c r="R693" s="449">
        <f t="shared" si="133"/>
        <v>1243.78953</v>
      </c>
      <c r="S693" s="465">
        <f t="shared" si="120"/>
        <v>99.99999356804403</v>
      </c>
    </row>
    <row r="694" spans="1:19" ht="16.5" customHeight="1" thickBot="1">
      <c r="A694" s="56" t="s">
        <v>120</v>
      </c>
      <c r="B694" s="220" t="s">
        <v>299</v>
      </c>
      <c r="C694" s="79" t="s">
        <v>255</v>
      </c>
      <c r="D694" s="79" t="s">
        <v>198</v>
      </c>
      <c r="E694" s="155" t="s">
        <v>508</v>
      </c>
      <c r="F694" s="502" t="s">
        <v>112</v>
      </c>
      <c r="G694" s="206"/>
      <c r="H694" s="206"/>
      <c r="I694" s="206"/>
      <c r="J694" s="206">
        <v>1697.7</v>
      </c>
      <c r="K694" s="273">
        <f>G694+J694</f>
        <v>1697.7</v>
      </c>
      <c r="L694" s="503">
        <v>-350.559</v>
      </c>
      <c r="M694" s="143"/>
      <c r="N694" s="206">
        <f>K694+L694+M694</f>
        <v>1347.141</v>
      </c>
      <c r="O694" s="206">
        <f>-103.34939-0.002</f>
        <v>-103.35139</v>
      </c>
      <c r="P694" s="273"/>
      <c r="Q694" s="489">
        <f>N694+O694+P694</f>
        <v>1243.78961</v>
      </c>
      <c r="R694" s="489">
        <v>1243.78953</v>
      </c>
      <c r="S694" s="477">
        <f t="shared" si="120"/>
        <v>99.99999356804403</v>
      </c>
    </row>
    <row r="695" spans="1:19" ht="54.75" customHeight="1">
      <c r="A695" s="138" t="s">
        <v>404</v>
      </c>
      <c r="B695" s="66" t="s">
        <v>299</v>
      </c>
      <c r="C695" s="67" t="s">
        <v>255</v>
      </c>
      <c r="D695" s="67" t="s">
        <v>198</v>
      </c>
      <c r="E695" s="67" t="s">
        <v>405</v>
      </c>
      <c r="F695" s="104"/>
      <c r="G695" s="88">
        <f aca="true" t="shared" si="134" ref="G695:R696">G696</f>
        <v>0</v>
      </c>
      <c r="H695" s="88">
        <f t="shared" si="134"/>
        <v>0</v>
      </c>
      <c r="I695" s="88">
        <f t="shared" si="134"/>
        <v>0</v>
      </c>
      <c r="J695" s="88">
        <f t="shared" si="134"/>
        <v>8926.633</v>
      </c>
      <c r="K695" s="290">
        <f t="shared" si="134"/>
        <v>8926.633</v>
      </c>
      <c r="L695" s="290">
        <f t="shared" si="134"/>
        <v>0</v>
      </c>
      <c r="M695" s="290">
        <f t="shared" si="134"/>
        <v>0</v>
      </c>
      <c r="N695" s="290">
        <f t="shared" si="134"/>
        <v>8926.633</v>
      </c>
      <c r="O695" s="290">
        <f t="shared" si="134"/>
        <v>0</v>
      </c>
      <c r="P695" s="290">
        <f t="shared" si="134"/>
        <v>11407.690719999999</v>
      </c>
      <c r="Q695" s="480">
        <f t="shared" si="134"/>
        <v>20334.32372</v>
      </c>
      <c r="R695" s="480">
        <f t="shared" si="134"/>
        <v>20334.32372</v>
      </c>
      <c r="S695" s="481">
        <f t="shared" si="120"/>
        <v>100</v>
      </c>
    </row>
    <row r="696" spans="1:19" ht="18" customHeight="1" thickBot="1">
      <c r="A696" s="213" t="s">
        <v>120</v>
      </c>
      <c r="B696" s="353" t="s">
        <v>299</v>
      </c>
      <c r="C696" s="254" t="s">
        <v>255</v>
      </c>
      <c r="D696" s="254" t="s">
        <v>198</v>
      </c>
      <c r="E696" s="254" t="s">
        <v>405</v>
      </c>
      <c r="F696" s="255" t="s">
        <v>112</v>
      </c>
      <c r="G696" s="89">
        <f t="shared" si="134"/>
        <v>0</v>
      </c>
      <c r="H696" s="89">
        <f t="shared" si="134"/>
        <v>0</v>
      </c>
      <c r="I696" s="89">
        <f t="shared" si="134"/>
        <v>0</v>
      </c>
      <c r="J696" s="89">
        <f t="shared" si="134"/>
        <v>8926.633</v>
      </c>
      <c r="K696" s="275">
        <f t="shared" si="134"/>
        <v>8926.633</v>
      </c>
      <c r="L696" s="275">
        <f t="shared" si="134"/>
        <v>0</v>
      </c>
      <c r="M696" s="275">
        <f t="shared" si="134"/>
        <v>0</v>
      </c>
      <c r="N696" s="275">
        <f t="shared" si="134"/>
        <v>8926.633</v>
      </c>
      <c r="O696" s="275">
        <f t="shared" si="134"/>
        <v>0</v>
      </c>
      <c r="P696" s="275">
        <f t="shared" si="134"/>
        <v>11407.690719999999</v>
      </c>
      <c r="Q696" s="448">
        <f t="shared" si="134"/>
        <v>20334.32372</v>
      </c>
      <c r="R696" s="448">
        <v>20334.32372</v>
      </c>
      <c r="S696" s="444">
        <f t="shared" si="120"/>
        <v>100</v>
      </c>
    </row>
    <row r="697" spans="1:19" ht="13.5" customHeight="1" hidden="1">
      <c r="A697" s="105"/>
      <c r="B697" s="71" t="s">
        <v>299</v>
      </c>
      <c r="C697" s="76" t="s">
        <v>255</v>
      </c>
      <c r="D697" s="76" t="s">
        <v>198</v>
      </c>
      <c r="E697" s="76" t="s">
        <v>405</v>
      </c>
      <c r="F697" s="78"/>
      <c r="G697" s="96">
        <f aca="true" t="shared" si="135" ref="G697:N697">G698+G699</f>
        <v>0</v>
      </c>
      <c r="H697" s="96">
        <f t="shared" si="135"/>
        <v>0</v>
      </c>
      <c r="I697" s="96">
        <f t="shared" si="135"/>
        <v>0</v>
      </c>
      <c r="J697" s="96">
        <f t="shared" si="135"/>
        <v>8926.633</v>
      </c>
      <c r="K697" s="287">
        <f t="shared" si="135"/>
        <v>8926.633</v>
      </c>
      <c r="L697" s="287">
        <f t="shared" si="135"/>
        <v>0</v>
      </c>
      <c r="M697" s="287">
        <f t="shared" si="135"/>
        <v>0</v>
      </c>
      <c r="N697" s="287">
        <f t="shared" si="135"/>
        <v>8926.633</v>
      </c>
      <c r="O697" s="287">
        <f>O698+O699</f>
        <v>0</v>
      </c>
      <c r="P697" s="287">
        <f>P698+P699</f>
        <v>11407.690719999999</v>
      </c>
      <c r="Q697" s="449">
        <f>Q698+Q699</f>
        <v>20334.32372</v>
      </c>
      <c r="R697" s="449">
        <f>R698+R699</f>
        <v>31742.01444</v>
      </c>
      <c r="S697" s="459">
        <f t="shared" si="120"/>
        <v>156.10066445819325</v>
      </c>
    </row>
    <row r="698" spans="1:19" ht="16.5" hidden="1" thickBot="1">
      <c r="A698" s="103"/>
      <c r="B698" s="99"/>
      <c r="C698" s="100"/>
      <c r="D698" s="100"/>
      <c r="E698" s="100"/>
      <c r="F698" s="101" t="s">
        <v>215</v>
      </c>
      <c r="G698" s="89"/>
      <c r="H698" s="82"/>
      <c r="I698" s="82"/>
      <c r="J698" s="89">
        <v>6856.09293</v>
      </c>
      <c r="K698" s="275">
        <v>6856.09284</v>
      </c>
      <c r="L698" s="315"/>
      <c r="M698" s="82"/>
      <c r="N698" s="89">
        <f>K698+L698+M698</f>
        <v>6856.09284</v>
      </c>
      <c r="O698" s="89">
        <v>-147.34187</v>
      </c>
      <c r="P698" s="275">
        <v>8909.00896</v>
      </c>
      <c r="Q698" s="448">
        <f>N698+O698+P698</f>
        <v>15617.75993</v>
      </c>
      <c r="R698" s="448">
        <f>O698+P698+Q698</f>
        <v>24379.42702</v>
      </c>
      <c r="S698" s="459">
        <f t="shared" si="120"/>
        <v>156.1006644312018</v>
      </c>
    </row>
    <row r="699" spans="1:19" ht="14.25" customHeight="1" hidden="1" thickBot="1">
      <c r="A699" s="147"/>
      <c r="B699" s="30"/>
      <c r="C699" s="79"/>
      <c r="D699" s="79"/>
      <c r="E699" s="79"/>
      <c r="F699" s="81" t="s">
        <v>217</v>
      </c>
      <c r="G699" s="97"/>
      <c r="H699" s="111"/>
      <c r="I699" s="111"/>
      <c r="J699" s="97">
        <v>2070.54007</v>
      </c>
      <c r="K699" s="275">
        <v>2070.54016</v>
      </c>
      <c r="L699" s="315"/>
      <c r="M699" s="82"/>
      <c r="N699" s="89">
        <f aca="true" t="shared" si="136" ref="N699:R708">K699+L699+M699</f>
        <v>2070.54016</v>
      </c>
      <c r="O699" s="89">
        <v>147.34187</v>
      </c>
      <c r="P699" s="275">
        <v>2498.68176</v>
      </c>
      <c r="Q699" s="448">
        <f t="shared" si="136"/>
        <v>4716.56379</v>
      </c>
      <c r="R699" s="448">
        <f t="shared" si="136"/>
        <v>7362.58742</v>
      </c>
      <c r="S699" s="459">
        <f t="shared" si="120"/>
        <v>156.10066454756887</v>
      </c>
    </row>
    <row r="700" spans="1:19" ht="73.5" customHeight="1" hidden="1">
      <c r="A700" s="148" t="s">
        <v>406</v>
      </c>
      <c r="B700" s="66" t="s">
        <v>299</v>
      </c>
      <c r="C700" s="67" t="s">
        <v>255</v>
      </c>
      <c r="D700" s="67" t="s">
        <v>198</v>
      </c>
      <c r="E700" s="67" t="s">
        <v>407</v>
      </c>
      <c r="F700" s="69" t="s">
        <v>201</v>
      </c>
      <c r="G700" s="200">
        <f>G701+G703</f>
        <v>0</v>
      </c>
      <c r="H700" s="70">
        <f>H701+H703</f>
        <v>0</v>
      </c>
      <c r="I700" s="70">
        <f>I701+I703</f>
        <v>0</v>
      </c>
      <c r="J700" s="200">
        <f>J701+J703</f>
        <v>0</v>
      </c>
      <c r="K700" s="286">
        <f>K701+K703</f>
        <v>0</v>
      </c>
      <c r="L700" s="313"/>
      <c r="M700" s="75"/>
      <c r="N700" s="89">
        <f t="shared" si="136"/>
        <v>0</v>
      </c>
      <c r="O700" s="89">
        <f t="shared" si="136"/>
        <v>0</v>
      </c>
      <c r="P700" s="275">
        <f t="shared" si="136"/>
        <v>0</v>
      </c>
      <c r="Q700" s="448">
        <f t="shared" si="136"/>
        <v>0</v>
      </c>
      <c r="R700" s="448">
        <f t="shared" si="136"/>
        <v>0</v>
      </c>
      <c r="S700" s="459" t="e">
        <f t="shared" si="120"/>
        <v>#DIV/0!</v>
      </c>
    </row>
    <row r="701" spans="1:19" ht="16.5" hidden="1" thickBot="1">
      <c r="A701" s="109" t="s">
        <v>398</v>
      </c>
      <c r="B701" s="99" t="s">
        <v>299</v>
      </c>
      <c r="C701" s="100" t="s">
        <v>255</v>
      </c>
      <c r="D701" s="100" t="s">
        <v>198</v>
      </c>
      <c r="E701" s="100" t="s">
        <v>407</v>
      </c>
      <c r="F701" s="101" t="s">
        <v>399</v>
      </c>
      <c r="G701" s="102">
        <f>G702</f>
        <v>0</v>
      </c>
      <c r="H701" s="137">
        <f>H702</f>
        <v>0</v>
      </c>
      <c r="I701" s="137">
        <f>I702</f>
        <v>0</v>
      </c>
      <c r="J701" s="102">
        <f>J702</f>
        <v>0</v>
      </c>
      <c r="K701" s="280">
        <f>K702</f>
        <v>0</v>
      </c>
      <c r="L701" s="315"/>
      <c r="M701" s="82"/>
      <c r="N701" s="89">
        <f t="shared" si="136"/>
        <v>0</v>
      </c>
      <c r="O701" s="89">
        <f t="shared" si="136"/>
        <v>0</v>
      </c>
      <c r="P701" s="275">
        <f t="shared" si="136"/>
        <v>0</v>
      </c>
      <c r="Q701" s="448">
        <f t="shared" si="136"/>
        <v>0</v>
      </c>
      <c r="R701" s="448">
        <f t="shared" si="136"/>
        <v>0</v>
      </c>
      <c r="S701" s="459" t="e">
        <f t="shared" si="120"/>
        <v>#DIV/0!</v>
      </c>
    </row>
    <row r="702" spans="1:19" ht="16.5" hidden="1" thickBot="1">
      <c r="A702" s="29"/>
      <c r="B702" s="30"/>
      <c r="C702" s="79"/>
      <c r="D702" s="79"/>
      <c r="E702" s="79"/>
      <c r="F702" s="81" t="s">
        <v>237</v>
      </c>
      <c r="G702" s="89"/>
      <c r="H702" s="82"/>
      <c r="I702" s="82"/>
      <c r="J702" s="89"/>
      <c r="K702" s="275"/>
      <c r="L702" s="315"/>
      <c r="M702" s="82"/>
      <c r="N702" s="89">
        <f t="shared" si="136"/>
        <v>0</v>
      </c>
      <c r="O702" s="89">
        <f t="shared" si="136"/>
        <v>0</v>
      </c>
      <c r="P702" s="275">
        <f t="shared" si="136"/>
        <v>0</v>
      </c>
      <c r="Q702" s="448">
        <f t="shared" si="136"/>
        <v>0</v>
      </c>
      <c r="R702" s="448">
        <f t="shared" si="136"/>
        <v>0</v>
      </c>
      <c r="S702" s="459" t="e">
        <f t="shared" si="120"/>
        <v>#DIV/0!</v>
      </c>
    </row>
    <row r="703" spans="1:19" ht="16.5" hidden="1" thickBot="1">
      <c r="A703" s="105" t="s">
        <v>402</v>
      </c>
      <c r="B703" s="71" t="s">
        <v>299</v>
      </c>
      <c r="C703" s="76" t="s">
        <v>255</v>
      </c>
      <c r="D703" s="76" t="s">
        <v>198</v>
      </c>
      <c r="E703" s="76" t="s">
        <v>407</v>
      </c>
      <c r="F703" s="78" t="s">
        <v>403</v>
      </c>
      <c r="G703" s="89">
        <f>G704</f>
        <v>0</v>
      </c>
      <c r="H703" s="82">
        <f>H704</f>
        <v>0</v>
      </c>
      <c r="I703" s="82">
        <f>I704</f>
        <v>0</v>
      </c>
      <c r="J703" s="89">
        <f>J704</f>
        <v>0</v>
      </c>
      <c r="K703" s="275">
        <f>K704</f>
        <v>0</v>
      </c>
      <c r="L703" s="315"/>
      <c r="M703" s="82"/>
      <c r="N703" s="89">
        <f t="shared" si="136"/>
        <v>0</v>
      </c>
      <c r="O703" s="89">
        <f t="shared" si="136"/>
        <v>0</v>
      </c>
      <c r="P703" s="275">
        <f t="shared" si="136"/>
        <v>0</v>
      </c>
      <c r="Q703" s="448">
        <f t="shared" si="136"/>
        <v>0</v>
      </c>
      <c r="R703" s="448">
        <f t="shared" si="136"/>
        <v>0</v>
      </c>
      <c r="S703" s="459" t="e">
        <f t="shared" si="120"/>
        <v>#DIV/0!</v>
      </c>
    </row>
    <row r="704" spans="1:19" ht="16.5" hidden="1" thickBot="1">
      <c r="A704" s="147"/>
      <c r="B704" s="30"/>
      <c r="C704" s="79"/>
      <c r="D704" s="79"/>
      <c r="E704" s="149" t="s">
        <v>389</v>
      </c>
      <c r="F704" s="81" t="s">
        <v>237</v>
      </c>
      <c r="G704" s="97"/>
      <c r="H704" s="111"/>
      <c r="I704" s="111"/>
      <c r="J704" s="97"/>
      <c r="K704" s="269"/>
      <c r="L704" s="315"/>
      <c r="M704" s="82"/>
      <c r="N704" s="89">
        <f t="shared" si="136"/>
        <v>0</v>
      </c>
      <c r="O704" s="89">
        <f t="shared" si="136"/>
        <v>0</v>
      </c>
      <c r="P704" s="275">
        <f t="shared" si="136"/>
        <v>0</v>
      </c>
      <c r="Q704" s="448">
        <f t="shared" si="136"/>
        <v>0</v>
      </c>
      <c r="R704" s="448">
        <f t="shared" si="136"/>
        <v>0</v>
      </c>
      <c r="S704" s="459" t="e">
        <f t="shared" si="120"/>
        <v>#DIV/0!</v>
      </c>
    </row>
    <row r="705" spans="1:19" ht="0.75" customHeight="1" hidden="1">
      <c r="A705" s="98" t="s">
        <v>247</v>
      </c>
      <c r="B705" s="66" t="s">
        <v>299</v>
      </c>
      <c r="C705" s="67" t="s">
        <v>255</v>
      </c>
      <c r="D705" s="67" t="s">
        <v>198</v>
      </c>
      <c r="E705" s="67" t="s">
        <v>248</v>
      </c>
      <c r="F705" s="69" t="s">
        <v>201</v>
      </c>
      <c r="G705" s="200">
        <f>G706</f>
        <v>0</v>
      </c>
      <c r="H705" s="70">
        <f>H706</f>
        <v>0</v>
      </c>
      <c r="I705" s="70">
        <f>I706</f>
        <v>0</v>
      </c>
      <c r="J705" s="200">
        <f>J706</f>
        <v>0</v>
      </c>
      <c r="K705" s="286">
        <f>K706</f>
        <v>0</v>
      </c>
      <c r="L705" s="313"/>
      <c r="M705" s="75"/>
      <c r="N705" s="89">
        <f t="shared" si="136"/>
        <v>0</v>
      </c>
      <c r="O705" s="89">
        <f t="shared" si="136"/>
        <v>0</v>
      </c>
      <c r="P705" s="275">
        <f t="shared" si="136"/>
        <v>0</v>
      </c>
      <c r="Q705" s="448">
        <f t="shared" si="136"/>
        <v>0</v>
      </c>
      <c r="R705" s="448">
        <f t="shared" si="136"/>
        <v>0</v>
      </c>
      <c r="S705" s="459" t="e">
        <f t="shared" si="120"/>
        <v>#DIV/0!</v>
      </c>
    </row>
    <row r="706" spans="1:19" ht="16.5" hidden="1" thickBot="1">
      <c r="A706" s="103" t="s">
        <v>402</v>
      </c>
      <c r="B706" s="99" t="s">
        <v>299</v>
      </c>
      <c r="C706" s="100" t="s">
        <v>255</v>
      </c>
      <c r="D706" s="100" t="s">
        <v>198</v>
      </c>
      <c r="E706" s="100" t="s">
        <v>248</v>
      </c>
      <c r="F706" s="101" t="s">
        <v>403</v>
      </c>
      <c r="G706" s="102">
        <f>G707+G708</f>
        <v>0</v>
      </c>
      <c r="H706" s="137">
        <f>H707+H708</f>
        <v>0</v>
      </c>
      <c r="I706" s="137">
        <f>I707+I708</f>
        <v>0</v>
      </c>
      <c r="J706" s="102">
        <f>J707+J708</f>
        <v>0</v>
      </c>
      <c r="K706" s="280">
        <f>K707+K708</f>
        <v>0</v>
      </c>
      <c r="L706" s="315"/>
      <c r="M706" s="82"/>
      <c r="N706" s="89">
        <f t="shared" si="136"/>
        <v>0</v>
      </c>
      <c r="O706" s="89">
        <f t="shared" si="136"/>
        <v>0</v>
      </c>
      <c r="P706" s="275">
        <f t="shared" si="136"/>
        <v>0</v>
      </c>
      <c r="Q706" s="448">
        <f t="shared" si="136"/>
        <v>0</v>
      </c>
      <c r="R706" s="448">
        <f t="shared" si="136"/>
        <v>0</v>
      </c>
      <c r="S706" s="459" t="e">
        <f t="shared" si="120"/>
        <v>#DIV/0!</v>
      </c>
    </row>
    <row r="707" spans="1:19" ht="16.5" hidden="1" thickBot="1">
      <c r="A707" s="105"/>
      <c r="B707" s="71"/>
      <c r="C707" s="76"/>
      <c r="D707" s="76"/>
      <c r="E707" s="150" t="s">
        <v>389</v>
      </c>
      <c r="F707" s="78" t="s">
        <v>217</v>
      </c>
      <c r="G707" s="89"/>
      <c r="H707" s="82"/>
      <c r="I707" s="82"/>
      <c r="J707" s="89"/>
      <c r="K707" s="275"/>
      <c r="L707" s="315"/>
      <c r="M707" s="82"/>
      <c r="N707" s="89">
        <f t="shared" si="136"/>
        <v>0</v>
      </c>
      <c r="O707" s="89">
        <f t="shared" si="136"/>
        <v>0</v>
      </c>
      <c r="P707" s="275">
        <f t="shared" si="136"/>
        <v>0</v>
      </c>
      <c r="Q707" s="448">
        <f t="shared" si="136"/>
        <v>0</v>
      </c>
      <c r="R707" s="448">
        <f t="shared" si="136"/>
        <v>0</v>
      </c>
      <c r="S707" s="459" t="e">
        <f t="shared" si="120"/>
        <v>#DIV/0!</v>
      </c>
    </row>
    <row r="708" spans="1:19" ht="16.5" hidden="1" thickBot="1">
      <c r="A708" s="147"/>
      <c r="B708" s="30"/>
      <c r="C708" s="79"/>
      <c r="D708" s="79"/>
      <c r="E708" s="149"/>
      <c r="F708" s="81" t="s">
        <v>237</v>
      </c>
      <c r="G708" s="97"/>
      <c r="H708" s="111"/>
      <c r="I708" s="111"/>
      <c r="J708" s="97"/>
      <c r="K708" s="269"/>
      <c r="L708" s="315"/>
      <c r="M708" s="82"/>
      <c r="N708" s="89">
        <f t="shared" si="136"/>
        <v>0</v>
      </c>
      <c r="O708" s="89">
        <f t="shared" si="136"/>
        <v>0</v>
      </c>
      <c r="P708" s="275">
        <f t="shared" si="136"/>
        <v>0</v>
      </c>
      <c r="Q708" s="460">
        <f t="shared" si="136"/>
        <v>0</v>
      </c>
      <c r="R708" s="460">
        <f t="shared" si="136"/>
        <v>0</v>
      </c>
      <c r="S708" s="461" t="e">
        <f t="shared" si="120"/>
        <v>#DIV/0!</v>
      </c>
    </row>
    <row r="709" spans="1:19" ht="18" customHeight="1" thickBot="1">
      <c r="A709" s="17" t="s">
        <v>408</v>
      </c>
      <c r="B709" s="18" t="s">
        <v>201</v>
      </c>
      <c r="C709" s="19" t="s">
        <v>255</v>
      </c>
      <c r="D709" s="19" t="s">
        <v>203</v>
      </c>
      <c r="E709" s="19"/>
      <c r="F709" s="21"/>
      <c r="G709" s="199">
        <f aca="true" t="shared" si="137" ref="G709:P709">G710+G745+G787+G727+G783+G796+G794+G738</f>
        <v>372421.44368</v>
      </c>
      <c r="H709" s="199">
        <f t="shared" si="137"/>
        <v>389295.0927769828</v>
      </c>
      <c r="I709" s="199">
        <f t="shared" si="137"/>
        <v>394163.6629533503</v>
      </c>
      <c r="J709" s="199">
        <f t="shared" si="137"/>
        <v>64273.20028999999</v>
      </c>
      <c r="K709" s="285">
        <f t="shared" si="137"/>
        <v>436694.64397</v>
      </c>
      <c r="L709" s="285">
        <f t="shared" si="137"/>
        <v>593.6590000000001</v>
      </c>
      <c r="M709" s="285">
        <f t="shared" si="137"/>
        <v>10802.97643</v>
      </c>
      <c r="N709" s="285">
        <f t="shared" si="137"/>
        <v>448091.2794</v>
      </c>
      <c r="O709" s="285">
        <f t="shared" si="137"/>
        <v>-2046.3213099999996</v>
      </c>
      <c r="P709" s="285">
        <f t="shared" si="137"/>
        <v>2920.466</v>
      </c>
      <c r="Q709" s="492">
        <f>Q710+Q745+Q787+Q727+Q783+Q796+Q794+Q738+Q740+Q742</f>
        <v>445038.06610999996</v>
      </c>
      <c r="R709" s="493">
        <f>R710+R745+R787+R727+R783+R796+R794+R738+R740+R742</f>
        <v>442290.35678000003</v>
      </c>
      <c r="S709" s="484">
        <f t="shared" si="120"/>
        <v>99.382590043585</v>
      </c>
    </row>
    <row r="710" spans="1:19" ht="31.5" customHeight="1">
      <c r="A710" s="65" t="s">
        <v>409</v>
      </c>
      <c r="B710" s="66" t="s">
        <v>299</v>
      </c>
      <c r="C710" s="67" t="s">
        <v>255</v>
      </c>
      <c r="D710" s="67" t="s">
        <v>203</v>
      </c>
      <c r="E710" s="67" t="s">
        <v>410</v>
      </c>
      <c r="F710" s="69"/>
      <c r="G710" s="200">
        <f aca="true" t="shared" si="138" ref="G710:N711">G712+G713</f>
        <v>52790.50752</v>
      </c>
      <c r="H710" s="200">
        <f t="shared" si="138"/>
        <v>71984.12405044919</v>
      </c>
      <c r="I710" s="200">
        <f t="shared" si="138"/>
        <v>75547.91340709916</v>
      </c>
      <c r="J710" s="200">
        <f t="shared" si="138"/>
        <v>4320.881039999997</v>
      </c>
      <c r="K710" s="286">
        <f t="shared" si="138"/>
        <v>57111.38856</v>
      </c>
      <c r="L710" s="286">
        <f t="shared" si="138"/>
        <v>212.49503</v>
      </c>
      <c r="M710" s="286">
        <f t="shared" si="138"/>
        <v>5963.656000000001</v>
      </c>
      <c r="N710" s="286">
        <f t="shared" si="138"/>
        <v>63287.53959000001</v>
      </c>
      <c r="O710" s="286">
        <f>O712+O713</f>
        <v>478.70686</v>
      </c>
      <c r="P710" s="286">
        <f>P712+P713</f>
        <v>765</v>
      </c>
      <c r="Q710" s="471">
        <f>Q711</f>
        <v>62042.50232</v>
      </c>
      <c r="R710" s="472">
        <f>R711</f>
        <v>61134.88181</v>
      </c>
      <c r="S710" s="473">
        <f t="shared" si="120"/>
        <v>98.53709880153009</v>
      </c>
    </row>
    <row r="711" spans="1:19" ht="31.5" customHeight="1">
      <c r="A711" s="109" t="s">
        <v>184</v>
      </c>
      <c r="B711" s="99" t="s">
        <v>299</v>
      </c>
      <c r="C711" s="112" t="s">
        <v>255</v>
      </c>
      <c r="D711" s="112" t="s">
        <v>203</v>
      </c>
      <c r="E711" s="112" t="s">
        <v>411</v>
      </c>
      <c r="F711" s="104"/>
      <c r="G711" s="88">
        <f t="shared" si="138"/>
        <v>55768.657439999995</v>
      </c>
      <c r="H711" s="88">
        <f t="shared" si="138"/>
        <v>74684.6840504492</v>
      </c>
      <c r="I711" s="88">
        <f t="shared" si="138"/>
        <v>78394.71340709916</v>
      </c>
      <c r="J711" s="88">
        <f t="shared" si="138"/>
        <v>4030.2499199999966</v>
      </c>
      <c r="K711" s="290">
        <f t="shared" si="138"/>
        <v>59798.90736</v>
      </c>
      <c r="L711" s="290">
        <f t="shared" si="138"/>
        <v>212.49503</v>
      </c>
      <c r="M711" s="290">
        <f t="shared" si="138"/>
        <v>5963.656000000001</v>
      </c>
      <c r="N711" s="290">
        <f t="shared" si="138"/>
        <v>65975.05839</v>
      </c>
      <c r="O711" s="290">
        <f>O713+O714</f>
        <v>436.63928</v>
      </c>
      <c r="P711" s="290">
        <f>P713+P714</f>
        <v>765</v>
      </c>
      <c r="Q711" s="474">
        <f>Q712+Q713</f>
        <v>62042.50232</v>
      </c>
      <c r="R711" s="449">
        <f>R712+R713</f>
        <v>61134.88181</v>
      </c>
      <c r="S711" s="465">
        <f t="shared" si="120"/>
        <v>98.53709880153009</v>
      </c>
    </row>
    <row r="712" spans="1:19" ht="15.75" customHeight="1">
      <c r="A712" s="195" t="s">
        <v>124</v>
      </c>
      <c r="B712" s="214" t="s">
        <v>299</v>
      </c>
      <c r="C712" s="91" t="s">
        <v>255</v>
      </c>
      <c r="D712" s="91" t="s">
        <v>203</v>
      </c>
      <c r="E712" s="91" t="s">
        <v>411</v>
      </c>
      <c r="F712" s="93" t="s">
        <v>238</v>
      </c>
      <c r="G712" s="89">
        <v>626.4</v>
      </c>
      <c r="H712" s="89">
        <v>626.4</v>
      </c>
      <c r="I712" s="89">
        <v>626.4</v>
      </c>
      <c r="J712" s="89"/>
      <c r="K712" s="275">
        <v>626.4</v>
      </c>
      <c r="L712" s="315"/>
      <c r="M712" s="82"/>
      <c r="N712" s="89">
        <f>L712+K712+M712</f>
        <v>626.4</v>
      </c>
      <c r="O712" s="89">
        <v>-166.9</v>
      </c>
      <c r="P712" s="275"/>
      <c r="Q712" s="487">
        <f>O712+N712+P712</f>
        <v>459.5</v>
      </c>
      <c r="R712" s="448">
        <v>459.5</v>
      </c>
      <c r="S712" s="444">
        <f t="shared" si="120"/>
        <v>100</v>
      </c>
    </row>
    <row r="713" spans="1:19" ht="15.75" customHeight="1" thickBot="1">
      <c r="A713" s="213" t="s">
        <v>120</v>
      </c>
      <c r="B713" s="214" t="s">
        <v>299</v>
      </c>
      <c r="C713" s="91" t="s">
        <v>255</v>
      </c>
      <c r="D713" s="91" t="s">
        <v>203</v>
      </c>
      <c r="E713" s="91" t="s">
        <v>411</v>
      </c>
      <c r="F713" s="93" t="s">
        <v>112</v>
      </c>
      <c r="G713" s="89">
        <f aca="true" t="shared" si="139" ref="G713:N713">G714+G715+G716+G717+G718+G719+G720+G721+G723+G724+G725+G726+G722</f>
        <v>52164.10752</v>
      </c>
      <c r="H713" s="89">
        <f t="shared" si="139"/>
        <v>71357.7240504492</v>
      </c>
      <c r="I713" s="89">
        <f t="shared" si="139"/>
        <v>74921.51340709916</v>
      </c>
      <c r="J713" s="89">
        <f t="shared" si="139"/>
        <v>4320.881039999997</v>
      </c>
      <c r="K713" s="275">
        <f t="shared" si="139"/>
        <v>56484.98856</v>
      </c>
      <c r="L713" s="275">
        <f t="shared" si="139"/>
        <v>212.49503</v>
      </c>
      <c r="M713" s="275">
        <f t="shared" si="139"/>
        <v>5963.656000000001</v>
      </c>
      <c r="N713" s="275">
        <f t="shared" si="139"/>
        <v>62661.139590000006</v>
      </c>
      <c r="O713" s="275">
        <f>O714+O715+O716+O717+O718+O719+O720+O721+O723+O724+O725+O726+O722</f>
        <v>645.60686</v>
      </c>
      <c r="P713" s="275">
        <f>P714+P715+P716+P717+P718+P719+P720+P721+P723+P724+P725+P726+P722</f>
        <v>765</v>
      </c>
      <c r="Q713" s="488">
        <v>61583.00232</v>
      </c>
      <c r="R713" s="489">
        <v>60675.38181</v>
      </c>
      <c r="S713" s="477">
        <f t="shared" si="120"/>
        <v>98.52618340157599</v>
      </c>
    </row>
    <row r="714" spans="1:19" ht="15.75" customHeight="1" hidden="1">
      <c r="A714" s="106"/>
      <c r="B714" s="71"/>
      <c r="C714" s="76"/>
      <c r="D714" s="76"/>
      <c r="E714" s="76"/>
      <c r="F714" s="78" t="s">
        <v>215</v>
      </c>
      <c r="G714" s="89">
        <v>3604.54992</v>
      </c>
      <c r="H714" s="82">
        <f>3656*0.91</f>
        <v>3326.96</v>
      </c>
      <c r="I714" s="82">
        <f>3656*0.95</f>
        <v>3473.2</v>
      </c>
      <c r="J714" s="89">
        <v>-290.63112</v>
      </c>
      <c r="K714" s="275">
        <v>3313.9188</v>
      </c>
      <c r="L714" s="315"/>
      <c r="M714" s="82"/>
      <c r="N714" s="89">
        <f>K714+L714+M714</f>
        <v>3313.9188</v>
      </c>
      <c r="O714" s="89">
        <v>-208.96758</v>
      </c>
      <c r="P714" s="275"/>
      <c r="Q714" s="485">
        <f>N714+O714+P714</f>
        <v>3104.95122</v>
      </c>
      <c r="R714" s="485">
        <f>O714+P714+Q714</f>
        <v>2895.98364</v>
      </c>
      <c r="S714" s="481">
        <f t="shared" si="120"/>
        <v>93.26985948590844</v>
      </c>
    </row>
    <row r="715" spans="1:19" ht="13.5" hidden="1" thickBot="1">
      <c r="A715" s="146"/>
      <c r="B715" s="30"/>
      <c r="C715" s="79"/>
      <c r="D715" s="79"/>
      <c r="E715" s="79"/>
      <c r="F715" s="81" t="s">
        <v>216</v>
      </c>
      <c r="G715" s="89">
        <v>0</v>
      </c>
      <c r="H715" s="82">
        <f>159*0.91</f>
        <v>144.69</v>
      </c>
      <c r="I715" s="82">
        <f>167*0.95</f>
        <v>158.65</v>
      </c>
      <c r="J715" s="89"/>
      <c r="K715" s="275">
        <f>G715+J715</f>
        <v>0</v>
      </c>
      <c r="L715" s="315"/>
      <c r="M715" s="82"/>
      <c r="N715" s="89">
        <f aca="true" t="shared" si="140" ref="N715:R726">K715+L715+M715</f>
        <v>0</v>
      </c>
      <c r="O715" s="89">
        <v>1.1</v>
      </c>
      <c r="P715" s="275"/>
      <c r="Q715" s="448">
        <f t="shared" si="140"/>
        <v>1.1</v>
      </c>
      <c r="R715" s="448">
        <f t="shared" si="140"/>
        <v>2.2</v>
      </c>
      <c r="S715" s="465">
        <f t="shared" si="120"/>
        <v>200</v>
      </c>
    </row>
    <row r="716" spans="1:19" ht="13.5" hidden="1" thickBot="1">
      <c r="A716" s="146"/>
      <c r="B716" s="30"/>
      <c r="C716" s="79"/>
      <c r="D716" s="79"/>
      <c r="E716" s="79"/>
      <c r="F716" s="81" t="s">
        <v>217</v>
      </c>
      <c r="G716" s="89">
        <v>1088.57409</v>
      </c>
      <c r="H716" s="82">
        <f>H714*0.302</f>
        <v>1004.7419199999999</v>
      </c>
      <c r="I716" s="82">
        <f>I714*0.302*0.95</f>
        <v>996.4610799999998</v>
      </c>
      <c r="J716" s="89">
        <v>-84.57994</v>
      </c>
      <c r="K716" s="275">
        <v>1003.99415</v>
      </c>
      <c r="L716" s="319">
        <v>3.01566</v>
      </c>
      <c r="M716" s="82"/>
      <c r="N716" s="89">
        <f t="shared" si="140"/>
        <v>1007.00981</v>
      </c>
      <c r="O716" s="89">
        <v>-52.89911</v>
      </c>
      <c r="P716" s="275"/>
      <c r="Q716" s="448">
        <f t="shared" si="140"/>
        <v>954.1107000000001</v>
      </c>
      <c r="R716" s="448">
        <f t="shared" si="140"/>
        <v>901.2115900000001</v>
      </c>
      <c r="S716" s="465">
        <f t="shared" si="120"/>
        <v>94.45566326842368</v>
      </c>
    </row>
    <row r="717" spans="1:19" ht="13.5" hidden="1" thickBot="1">
      <c r="A717" s="106"/>
      <c r="B717" s="71"/>
      <c r="C717" s="76"/>
      <c r="D717" s="76"/>
      <c r="E717" s="76"/>
      <c r="F717" s="78" t="s">
        <v>233</v>
      </c>
      <c r="G717" s="89">
        <v>202.44804</v>
      </c>
      <c r="H717" s="82">
        <f>200*0.91</f>
        <v>182</v>
      </c>
      <c r="I717" s="82">
        <f>210*0.95</f>
        <v>199.5</v>
      </c>
      <c r="J717" s="89">
        <v>-44.53857</v>
      </c>
      <c r="K717" s="275">
        <v>157.90947</v>
      </c>
      <c r="L717" s="315"/>
      <c r="M717" s="82"/>
      <c r="N717" s="89">
        <f t="shared" si="140"/>
        <v>157.90947</v>
      </c>
      <c r="O717" s="89">
        <v>8.53111</v>
      </c>
      <c r="P717" s="275"/>
      <c r="Q717" s="448">
        <f t="shared" si="140"/>
        <v>166.44058</v>
      </c>
      <c r="R717" s="448">
        <f t="shared" si="140"/>
        <v>174.97169000000002</v>
      </c>
      <c r="S717" s="465">
        <f t="shared" si="120"/>
        <v>105.12561900469225</v>
      </c>
    </row>
    <row r="718" spans="1:19" ht="13.5" hidden="1" thickBot="1">
      <c r="A718" s="146"/>
      <c r="B718" s="30"/>
      <c r="C718" s="79"/>
      <c r="D718" s="79"/>
      <c r="E718" s="79"/>
      <c r="F718" s="81" t="s">
        <v>234</v>
      </c>
      <c r="G718" s="97">
        <v>0</v>
      </c>
      <c r="H718" s="111">
        <f>26*0.91</f>
        <v>23.66</v>
      </c>
      <c r="I718" s="111">
        <f>27*0.95</f>
        <v>25.65</v>
      </c>
      <c r="J718" s="97">
        <v>20</v>
      </c>
      <c r="K718" s="275">
        <v>20</v>
      </c>
      <c r="L718" s="315"/>
      <c r="M718" s="82"/>
      <c r="N718" s="89">
        <f t="shared" si="140"/>
        <v>20</v>
      </c>
      <c r="O718" s="89">
        <v>-20</v>
      </c>
      <c r="P718" s="275"/>
      <c r="Q718" s="448">
        <f t="shared" si="140"/>
        <v>0</v>
      </c>
      <c r="R718" s="448">
        <f t="shared" si="140"/>
        <v>-20</v>
      </c>
      <c r="S718" s="465" t="e">
        <f t="shared" si="120"/>
        <v>#DIV/0!</v>
      </c>
    </row>
    <row r="719" spans="1:19" ht="13.5" hidden="1" thickBot="1">
      <c r="A719" s="146"/>
      <c r="B719" s="30"/>
      <c r="C719" s="79"/>
      <c r="D719" s="79"/>
      <c r="E719" s="79"/>
      <c r="F719" s="81" t="s">
        <v>244</v>
      </c>
      <c r="G719" s="97">
        <v>15821.52736</v>
      </c>
      <c r="H719" s="111">
        <f>39976*0.91</f>
        <v>36378.16</v>
      </c>
      <c r="I719" s="111">
        <f>41935*0.95</f>
        <v>39838.25</v>
      </c>
      <c r="J719" s="97">
        <v>16699.61692</v>
      </c>
      <c r="K719" s="275">
        <v>32521.14</v>
      </c>
      <c r="L719" s="319">
        <v>72.01601</v>
      </c>
      <c r="M719" s="82">
        <v>2123.76</v>
      </c>
      <c r="N719" s="89">
        <f t="shared" si="140"/>
        <v>34716.91601</v>
      </c>
      <c r="O719" s="89">
        <f>-762.1+850.48616</f>
        <v>88.38616000000002</v>
      </c>
      <c r="P719" s="275"/>
      <c r="Q719" s="448">
        <f t="shared" si="140"/>
        <v>34805.30217</v>
      </c>
      <c r="R719" s="448">
        <f t="shared" si="140"/>
        <v>34893.688330000004</v>
      </c>
      <c r="S719" s="465">
        <f aca="true" t="shared" si="141" ref="S719:S782">R719/Q719*100</f>
        <v>100.25394452709617</v>
      </c>
    </row>
    <row r="720" spans="1:19" ht="13.5" hidden="1" thickBot="1">
      <c r="A720" s="106"/>
      <c r="B720" s="71"/>
      <c r="C720" s="76"/>
      <c r="D720" s="76"/>
      <c r="E720" s="76"/>
      <c r="F720" s="78" t="s">
        <v>245</v>
      </c>
      <c r="G720" s="89">
        <v>191.3338</v>
      </c>
      <c r="H720" s="82">
        <f>97*0.91</f>
        <v>88.27</v>
      </c>
      <c r="I720" s="82">
        <f>102*0.95</f>
        <v>96.89999999999999</v>
      </c>
      <c r="J720" s="89">
        <v>-82.42144</v>
      </c>
      <c r="K720" s="275">
        <v>108.91236</v>
      </c>
      <c r="L720" s="315"/>
      <c r="M720" s="82"/>
      <c r="N720" s="89">
        <f t="shared" si="140"/>
        <v>108.91236</v>
      </c>
      <c r="O720" s="89">
        <v>-47.38036</v>
      </c>
      <c r="P720" s="275"/>
      <c r="Q720" s="448">
        <f t="shared" si="140"/>
        <v>61.532000000000004</v>
      </c>
      <c r="R720" s="448">
        <f t="shared" si="140"/>
        <v>14.15164</v>
      </c>
      <c r="S720" s="465">
        <f t="shared" si="141"/>
        <v>22.998829877137098</v>
      </c>
    </row>
    <row r="721" spans="1:19" ht="13.5" hidden="1" thickBot="1">
      <c r="A721" s="146"/>
      <c r="B721" s="30"/>
      <c r="C721" s="79"/>
      <c r="D721" s="79"/>
      <c r="E721" s="79"/>
      <c r="F721" s="81" t="s">
        <v>235</v>
      </c>
      <c r="G721" s="205">
        <f>2923.4823+17676.00604</f>
        <v>20599.48834</v>
      </c>
      <c r="H721" s="134">
        <f>G721*1.052*0.91</f>
        <v>19720.302177648802</v>
      </c>
      <c r="I721" s="134">
        <f>H721*1.049*0.95</f>
        <v>19652.267135135913</v>
      </c>
      <c r="J721" s="205">
        <f>-103.27677-17528.614+793.779</f>
        <v>-16838.111770000003</v>
      </c>
      <c r="K721" s="275">
        <f>2820.20553+1576.95204+949.719-1600</f>
        <v>3746.8765700000004</v>
      </c>
      <c r="L721" s="319">
        <v>-116.49632</v>
      </c>
      <c r="M721" s="82">
        <v>1146.425</v>
      </c>
      <c r="N721" s="89">
        <f t="shared" si="140"/>
        <v>4776.80525</v>
      </c>
      <c r="O721" s="89">
        <f>200-705.27912</f>
        <v>-505.27912000000003</v>
      </c>
      <c r="P721" s="275">
        <v>112</v>
      </c>
      <c r="Q721" s="448">
        <f t="shared" si="140"/>
        <v>4383.52613</v>
      </c>
      <c r="R721" s="448">
        <f t="shared" si="140"/>
        <v>3990.24701</v>
      </c>
      <c r="S721" s="465">
        <f t="shared" si="141"/>
        <v>91.02824738950513</v>
      </c>
    </row>
    <row r="722" spans="1:19" ht="13.5" hidden="1" thickBot="1">
      <c r="A722" s="146"/>
      <c r="B722" s="30"/>
      <c r="C722" s="79"/>
      <c r="D722" s="79"/>
      <c r="E722" s="79" t="s">
        <v>506</v>
      </c>
      <c r="F722" s="81" t="s">
        <v>235</v>
      </c>
      <c r="G722" s="205"/>
      <c r="H722" s="134"/>
      <c r="I722" s="134"/>
      <c r="J722" s="205">
        <v>1600</v>
      </c>
      <c r="K722" s="275">
        <f>G722+J722</f>
        <v>1600</v>
      </c>
      <c r="L722" s="315">
        <v>-176.60497</v>
      </c>
      <c r="M722" s="82"/>
      <c r="N722" s="89">
        <f t="shared" si="140"/>
        <v>1423.39503</v>
      </c>
      <c r="O722" s="89">
        <f>-97.75198-15.18802-196.242+10</f>
        <v>-299.182</v>
      </c>
      <c r="P722" s="275"/>
      <c r="Q722" s="448">
        <f t="shared" si="140"/>
        <v>1124.21303</v>
      </c>
      <c r="R722" s="448">
        <f t="shared" si="140"/>
        <v>825.0310299999999</v>
      </c>
      <c r="S722" s="465">
        <f t="shared" si="141"/>
        <v>73.38742818164987</v>
      </c>
    </row>
    <row r="723" spans="1:19" ht="13.5" hidden="1" thickBot="1">
      <c r="A723" s="106"/>
      <c r="B723" s="71"/>
      <c r="C723" s="76"/>
      <c r="D723" s="76"/>
      <c r="E723" s="76"/>
      <c r="F723" s="78" t="s">
        <v>236</v>
      </c>
      <c r="G723" s="89">
        <f>877.03974+931.7379</f>
        <v>1808.77764</v>
      </c>
      <c r="H723" s="82">
        <f>G723*1.052*0.91</f>
        <v>1731.5790103248003</v>
      </c>
      <c r="I723" s="82">
        <f>H723*1.049*0.95</f>
        <v>1725.6050627391796</v>
      </c>
      <c r="J723" s="89">
        <f>1367.71748+692.76877</f>
        <v>2060.48625</v>
      </c>
      <c r="K723" s="275">
        <f>2121.49475+692.76877+1074.00465</f>
        <v>3888.2681700000003</v>
      </c>
      <c r="L723" s="319">
        <v>155.09731</v>
      </c>
      <c r="M723" s="82"/>
      <c r="N723" s="89">
        <f t="shared" si="140"/>
        <v>4043.3654800000004</v>
      </c>
      <c r="O723" s="89">
        <f>97.75198+28.02086-10-306.74233</f>
        <v>-190.96948999999998</v>
      </c>
      <c r="P723" s="275">
        <v>253</v>
      </c>
      <c r="Q723" s="448">
        <f t="shared" si="140"/>
        <v>4105.395990000001</v>
      </c>
      <c r="R723" s="448">
        <f t="shared" si="140"/>
        <v>4167.4265000000005</v>
      </c>
      <c r="S723" s="465">
        <f t="shared" si="141"/>
        <v>101.51095071342921</v>
      </c>
    </row>
    <row r="724" spans="1:19" ht="13.5" hidden="1" thickBot="1">
      <c r="A724" s="146"/>
      <c r="B724" s="30"/>
      <c r="C724" s="79"/>
      <c r="D724" s="79"/>
      <c r="E724" s="79"/>
      <c r="F724" s="81" t="s">
        <v>237</v>
      </c>
      <c r="G724" s="102">
        <f>2185.11125+234.69142</f>
        <v>2419.80267</v>
      </c>
      <c r="H724" s="137">
        <f>G724*1.052*0.91</f>
        <v>2316.5254920444004</v>
      </c>
      <c r="I724" s="137">
        <f>H724*1.049*0.95</f>
        <v>2308.5334790968473</v>
      </c>
      <c r="J724" s="102">
        <f>-50.0721-15.28207</f>
        <v>-65.35417</v>
      </c>
      <c r="K724" s="275">
        <f>2135.03915+219.40935</f>
        <v>2354.4485</v>
      </c>
      <c r="L724" s="315">
        <v>49.79068</v>
      </c>
      <c r="M724" s="82">
        <v>2043.471</v>
      </c>
      <c r="N724" s="89">
        <f t="shared" si="140"/>
        <v>4447.71018</v>
      </c>
      <c r="O724" s="378">
        <v>17.53611</v>
      </c>
      <c r="P724" s="275"/>
      <c r="Q724" s="448">
        <f t="shared" si="140"/>
        <v>4465.24629</v>
      </c>
      <c r="R724" s="448">
        <f t="shared" si="140"/>
        <v>4482.7824</v>
      </c>
      <c r="S724" s="465">
        <f t="shared" si="141"/>
        <v>100.3927243619075</v>
      </c>
    </row>
    <row r="725" spans="1:19" ht="13.5" hidden="1" thickBot="1">
      <c r="A725" s="106"/>
      <c r="B725" s="71"/>
      <c r="C725" s="76"/>
      <c r="D725" s="76"/>
      <c r="E725" s="76"/>
      <c r="F725" s="78" t="s">
        <v>238</v>
      </c>
      <c r="G725" s="89">
        <v>0</v>
      </c>
      <c r="H725" s="82">
        <f>316*0.91</f>
        <v>287.56</v>
      </c>
      <c r="I725" s="82">
        <f>331*0.95</f>
        <v>314.45</v>
      </c>
      <c r="J725" s="89">
        <v>622.503</v>
      </c>
      <c r="K725" s="275">
        <v>622.503</v>
      </c>
      <c r="L725" s="319">
        <v>41.397</v>
      </c>
      <c r="M725" s="82">
        <v>650</v>
      </c>
      <c r="N725" s="89">
        <f t="shared" si="140"/>
        <v>1313.9</v>
      </c>
      <c r="O725" s="89">
        <f>262.1-12.83284+130+116.1023</f>
        <v>495.36946</v>
      </c>
      <c r="P725" s="275">
        <v>300</v>
      </c>
      <c r="Q725" s="448">
        <f t="shared" si="140"/>
        <v>2109.26946</v>
      </c>
      <c r="R725" s="448">
        <f t="shared" si="140"/>
        <v>2904.63892</v>
      </c>
      <c r="S725" s="465">
        <f t="shared" si="141"/>
        <v>137.70829071786778</v>
      </c>
    </row>
    <row r="726" spans="1:19" ht="15.75" customHeight="1" hidden="1" thickBot="1">
      <c r="A726" s="151"/>
      <c r="B726" s="30"/>
      <c r="C726" s="79"/>
      <c r="D726" s="79"/>
      <c r="E726" s="79"/>
      <c r="F726" s="81" t="s">
        <v>239</v>
      </c>
      <c r="G726" s="97">
        <f>6352.17148+75.43418</f>
        <v>6427.60566</v>
      </c>
      <c r="H726" s="111">
        <f>G726*1.052*0.91</f>
        <v>6153.275450431201</v>
      </c>
      <c r="I726" s="111">
        <f>H726*1.049*0.95</f>
        <v>6132.046650127212</v>
      </c>
      <c r="J726" s="97">
        <f>542.4609+166.95098+14.5</f>
        <v>723.91188</v>
      </c>
      <c r="K726" s="275">
        <f>6894.63238+242.38516+10</f>
        <v>7147.01754</v>
      </c>
      <c r="L726" s="319">
        <v>184.27966</v>
      </c>
      <c r="M726" s="82"/>
      <c r="N726" s="89">
        <f t="shared" si="140"/>
        <v>7331.2972</v>
      </c>
      <c r="O726" s="89">
        <f>300+196.242+120+743.11968</f>
        <v>1359.36168</v>
      </c>
      <c r="P726" s="275">
        <v>100</v>
      </c>
      <c r="Q726" s="448">
        <f t="shared" si="140"/>
        <v>8790.658879999999</v>
      </c>
      <c r="R726" s="448">
        <f t="shared" si="140"/>
        <v>10250.020559999999</v>
      </c>
      <c r="S726" s="465">
        <f t="shared" si="141"/>
        <v>116.60127755975442</v>
      </c>
    </row>
    <row r="727" spans="1:19" ht="38.25">
      <c r="A727" s="159" t="s">
        <v>241</v>
      </c>
      <c r="B727" s="33" t="s">
        <v>299</v>
      </c>
      <c r="C727" s="34" t="s">
        <v>255</v>
      </c>
      <c r="D727" s="34" t="s">
        <v>203</v>
      </c>
      <c r="E727" s="34" t="s">
        <v>205</v>
      </c>
      <c r="F727" s="36"/>
      <c r="G727" s="207">
        <f aca="true" t="shared" si="142" ref="G727:R729">G728</f>
        <v>279917.5</v>
      </c>
      <c r="H727" s="49">
        <f t="shared" si="142"/>
        <v>279917.5</v>
      </c>
      <c r="I727" s="49">
        <f t="shared" si="142"/>
        <v>279917.5</v>
      </c>
      <c r="J727" s="207">
        <f t="shared" si="142"/>
        <v>27485.499999999996</v>
      </c>
      <c r="K727" s="302">
        <f t="shared" si="142"/>
        <v>307403</v>
      </c>
      <c r="L727" s="302">
        <f t="shared" si="142"/>
        <v>0</v>
      </c>
      <c r="M727" s="302">
        <f t="shared" si="142"/>
        <v>0</v>
      </c>
      <c r="N727" s="302">
        <f t="shared" si="142"/>
        <v>307403</v>
      </c>
      <c r="O727" s="302">
        <f t="shared" si="142"/>
        <v>0</v>
      </c>
      <c r="P727" s="302">
        <f t="shared" si="142"/>
        <v>0</v>
      </c>
      <c r="Q727" s="449">
        <f t="shared" si="142"/>
        <v>307403</v>
      </c>
      <c r="R727" s="449">
        <f t="shared" si="142"/>
        <v>307403</v>
      </c>
      <c r="S727" s="465">
        <f t="shared" si="141"/>
        <v>100</v>
      </c>
    </row>
    <row r="728" spans="1:19" ht="63.75">
      <c r="A728" s="216" t="s">
        <v>141</v>
      </c>
      <c r="B728" s="71" t="s">
        <v>299</v>
      </c>
      <c r="C728" s="72" t="s">
        <v>255</v>
      </c>
      <c r="D728" s="72" t="s">
        <v>203</v>
      </c>
      <c r="E728" s="72" t="s">
        <v>413</v>
      </c>
      <c r="F728" s="74"/>
      <c r="G728" s="96">
        <f t="shared" si="142"/>
        <v>279917.5</v>
      </c>
      <c r="H728" s="75">
        <f t="shared" si="142"/>
        <v>279917.5</v>
      </c>
      <c r="I728" s="75">
        <f t="shared" si="142"/>
        <v>279917.5</v>
      </c>
      <c r="J728" s="96">
        <f t="shared" si="142"/>
        <v>27485.499999999996</v>
      </c>
      <c r="K728" s="287">
        <f t="shared" si="142"/>
        <v>307403</v>
      </c>
      <c r="L728" s="287">
        <f t="shared" si="142"/>
        <v>0</v>
      </c>
      <c r="M728" s="287">
        <f t="shared" si="142"/>
        <v>0</v>
      </c>
      <c r="N728" s="287">
        <f t="shared" si="142"/>
        <v>307403</v>
      </c>
      <c r="O728" s="287">
        <f t="shared" si="142"/>
        <v>0</v>
      </c>
      <c r="P728" s="287">
        <f t="shared" si="142"/>
        <v>0</v>
      </c>
      <c r="Q728" s="449">
        <f t="shared" si="142"/>
        <v>307403</v>
      </c>
      <c r="R728" s="449">
        <f t="shared" si="142"/>
        <v>307403</v>
      </c>
      <c r="S728" s="465">
        <f t="shared" si="141"/>
        <v>100</v>
      </c>
    </row>
    <row r="729" spans="1:19" ht="16.5" customHeight="1">
      <c r="A729" s="109" t="s">
        <v>396</v>
      </c>
      <c r="B729" s="99" t="s">
        <v>299</v>
      </c>
      <c r="C729" s="112" t="s">
        <v>255</v>
      </c>
      <c r="D729" s="112" t="s">
        <v>203</v>
      </c>
      <c r="E729" s="112" t="s">
        <v>413</v>
      </c>
      <c r="F729" s="104"/>
      <c r="G729" s="88">
        <f>G730</f>
        <v>279917.5</v>
      </c>
      <c r="H729" s="88">
        <f t="shared" si="142"/>
        <v>279917.5</v>
      </c>
      <c r="I729" s="88">
        <f t="shared" si="142"/>
        <v>279917.5</v>
      </c>
      <c r="J729" s="88">
        <f t="shared" si="142"/>
        <v>27485.499999999996</v>
      </c>
      <c r="K729" s="290">
        <f t="shared" si="142"/>
        <v>307403</v>
      </c>
      <c r="L729" s="290">
        <f t="shared" si="142"/>
        <v>0</v>
      </c>
      <c r="M729" s="290">
        <f t="shared" si="142"/>
        <v>0</v>
      </c>
      <c r="N729" s="290">
        <f t="shared" si="142"/>
        <v>307403</v>
      </c>
      <c r="O729" s="290">
        <f t="shared" si="142"/>
        <v>0</v>
      </c>
      <c r="P729" s="290">
        <f t="shared" si="142"/>
        <v>0</v>
      </c>
      <c r="Q729" s="449">
        <f t="shared" si="142"/>
        <v>307403</v>
      </c>
      <c r="R729" s="449">
        <f t="shared" si="142"/>
        <v>307403</v>
      </c>
      <c r="S729" s="465">
        <f t="shared" si="141"/>
        <v>100</v>
      </c>
    </row>
    <row r="730" spans="1:19" ht="15.75" customHeight="1" thickBot="1">
      <c r="A730" s="213" t="s">
        <v>120</v>
      </c>
      <c r="B730" s="214" t="s">
        <v>299</v>
      </c>
      <c r="C730" s="91" t="s">
        <v>255</v>
      </c>
      <c r="D730" s="91" t="s">
        <v>203</v>
      </c>
      <c r="E730" s="91" t="s">
        <v>413</v>
      </c>
      <c r="F730" s="93" t="s">
        <v>112</v>
      </c>
      <c r="G730" s="89">
        <f aca="true" t="shared" si="143" ref="G730:N730">G731+G732+G733+G734+G735+G736</f>
        <v>279917.5</v>
      </c>
      <c r="H730" s="89">
        <f t="shared" si="143"/>
        <v>279917.5</v>
      </c>
      <c r="I730" s="89">
        <f t="shared" si="143"/>
        <v>279917.5</v>
      </c>
      <c r="J730" s="89">
        <f t="shared" si="143"/>
        <v>27485.499999999996</v>
      </c>
      <c r="K730" s="275">
        <f t="shared" si="143"/>
        <v>307403</v>
      </c>
      <c r="L730" s="275">
        <f t="shared" si="143"/>
        <v>0</v>
      </c>
      <c r="M730" s="275">
        <f t="shared" si="143"/>
        <v>0</v>
      </c>
      <c r="N730" s="275">
        <f t="shared" si="143"/>
        <v>307403</v>
      </c>
      <c r="O730" s="275">
        <f>O731+O732+O733+O734+O735+O736</f>
        <v>0</v>
      </c>
      <c r="P730" s="275">
        <f>P731+P732+P733+P734+P735+P736</f>
        <v>0</v>
      </c>
      <c r="Q730" s="448">
        <f>Q731+Q732+Q733+Q734+Q735+Q736</f>
        <v>307403</v>
      </c>
      <c r="R730" s="448">
        <v>307403</v>
      </c>
      <c r="S730" s="444">
        <f t="shared" si="141"/>
        <v>100</v>
      </c>
    </row>
    <row r="731" spans="1:19" ht="14.25" customHeight="1" hidden="1">
      <c r="A731" s="106"/>
      <c r="B731" s="71"/>
      <c r="C731" s="76"/>
      <c r="D731" s="76"/>
      <c r="E731" s="76"/>
      <c r="F731" s="78" t="s">
        <v>215</v>
      </c>
      <c r="G731" s="89">
        <v>211935.09984</v>
      </c>
      <c r="H731" s="82">
        <v>211935.1</v>
      </c>
      <c r="I731" s="82">
        <v>211935.1</v>
      </c>
      <c r="J731" s="89">
        <v>20929.26</v>
      </c>
      <c r="K731" s="275">
        <f aca="true" t="shared" si="144" ref="K731:K736">G731+J731</f>
        <v>232864.35984000002</v>
      </c>
      <c r="L731" s="315"/>
      <c r="M731" s="82"/>
      <c r="N731" s="89">
        <f aca="true" t="shared" si="145" ref="N731:R736">K731+L731+M731</f>
        <v>232864.35984000002</v>
      </c>
      <c r="O731" s="89">
        <v>3333.89763</v>
      </c>
      <c r="P731" s="275"/>
      <c r="Q731" s="448">
        <f t="shared" si="145"/>
        <v>236198.25747</v>
      </c>
      <c r="R731" s="448">
        <f t="shared" si="145"/>
        <v>239532.1551</v>
      </c>
      <c r="S731" s="465">
        <f t="shared" si="141"/>
        <v>101.41148273730319</v>
      </c>
    </row>
    <row r="732" spans="1:19" ht="15.75" customHeight="1" hidden="1">
      <c r="A732" s="146"/>
      <c r="B732" s="30"/>
      <c r="C732" s="79"/>
      <c r="D732" s="79"/>
      <c r="E732" s="79"/>
      <c r="F732" s="81" t="s">
        <v>217</v>
      </c>
      <c r="G732" s="89">
        <v>64004.40016</v>
      </c>
      <c r="H732" s="82">
        <v>64004.4</v>
      </c>
      <c r="I732" s="82">
        <v>64004.4</v>
      </c>
      <c r="J732" s="89">
        <v>6320.637</v>
      </c>
      <c r="K732" s="275">
        <f t="shared" si="144"/>
        <v>70325.03715999999</v>
      </c>
      <c r="L732" s="315"/>
      <c r="M732" s="82"/>
      <c r="N732" s="89">
        <f t="shared" si="145"/>
        <v>70325.03715999999</v>
      </c>
      <c r="O732" s="89">
        <v>-3333.89463</v>
      </c>
      <c r="P732" s="275"/>
      <c r="Q732" s="448">
        <f t="shared" si="145"/>
        <v>66991.14253</v>
      </c>
      <c r="R732" s="448">
        <f t="shared" si="145"/>
        <v>63657.247899999995</v>
      </c>
      <c r="S732" s="465">
        <f t="shared" si="141"/>
        <v>95.02337995130175</v>
      </c>
    </row>
    <row r="733" spans="1:19" ht="15.75" customHeight="1" hidden="1">
      <c r="A733" s="106"/>
      <c r="B733" s="71"/>
      <c r="C733" s="76"/>
      <c r="D733" s="76"/>
      <c r="E733" s="76"/>
      <c r="F733" s="78" t="s">
        <v>233</v>
      </c>
      <c r="G733" s="89"/>
      <c r="H733" s="82"/>
      <c r="I733" s="82"/>
      <c r="J733" s="89"/>
      <c r="K733" s="275">
        <f t="shared" si="144"/>
        <v>0</v>
      </c>
      <c r="L733" s="315"/>
      <c r="M733" s="82"/>
      <c r="N733" s="89">
        <f t="shared" si="145"/>
        <v>0</v>
      </c>
      <c r="O733" s="89"/>
      <c r="P733" s="275">
        <f t="shared" si="145"/>
        <v>0</v>
      </c>
      <c r="Q733" s="448">
        <f t="shared" si="145"/>
        <v>0</v>
      </c>
      <c r="R733" s="448">
        <f t="shared" si="145"/>
        <v>0</v>
      </c>
      <c r="S733" s="465" t="e">
        <f t="shared" si="141"/>
        <v>#DIV/0!</v>
      </c>
    </row>
    <row r="734" spans="1:19" ht="15" customHeight="1" hidden="1">
      <c r="A734" s="146"/>
      <c r="B734" s="30"/>
      <c r="C734" s="79"/>
      <c r="D734" s="79"/>
      <c r="E734" s="79"/>
      <c r="F734" s="81" t="s">
        <v>236</v>
      </c>
      <c r="G734" s="89">
        <v>319</v>
      </c>
      <c r="H734" s="82"/>
      <c r="I734" s="82"/>
      <c r="J734" s="89"/>
      <c r="K734" s="275">
        <f t="shared" si="144"/>
        <v>319</v>
      </c>
      <c r="L734" s="315"/>
      <c r="M734" s="82"/>
      <c r="N734" s="89">
        <f t="shared" si="145"/>
        <v>319</v>
      </c>
      <c r="O734" s="89">
        <v>-319</v>
      </c>
      <c r="P734" s="275"/>
      <c r="Q734" s="448">
        <f t="shared" si="145"/>
        <v>0</v>
      </c>
      <c r="R734" s="448">
        <f t="shared" si="145"/>
        <v>-319</v>
      </c>
      <c r="S734" s="465" t="e">
        <f t="shared" si="141"/>
        <v>#DIV/0!</v>
      </c>
    </row>
    <row r="735" spans="1:19" ht="15" customHeight="1" hidden="1">
      <c r="A735" s="105"/>
      <c r="B735" s="71"/>
      <c r="C735" s="76"/>
      <c r="D735" s="76"/>
      <c r="E735" s="76"/>
      <c r="F735" s="78" t="s">
        <v>238</v>
      </c>
      <c r="G735" s="89">
        <v>3375.788</v>
      </c>
      <c r="H735" s="82">
        <v>3978</v>
      </c>
      <c r="I735" s="82">
        <v>3978</v>
      </c>
      <c r="J735" s="89">
        <v>257.103</v>
      </c>
      <c r="K735" s="275">
        <f t="shared" si="144"/>
        <v>3632.891</v>
      </c>
      <c r="L735" s="315"/>
      <c r="M735" s="82"/>
      <c r="N735" s="89">
        <f t="shared" si="145"/>
        <v>3632.891</v>
      </c>
      <c r="O735" s="89">
        <v>559.209</v>
      </c>
      <c r="P735" s="275"/>
      <c r="Q735" s="448">
        <f t="shared" si="145"/>
        <v>4192.1</v>
      </c>
      <c r="R735" s="448">
        <f t="shared" si="145"/>
        <v>4751.309</v>
      </c>
      <c r="S735" s="465">
        <f t="shared" si="141"/>
        <v>113.33959113570764</v>
      </c>
    </row>
    <row r="736" spans="1:19" ht="13.5" customHeight="1" hidden="1" thickBot="1">
      <c r="A736" s="147"/>
      <c r="B736" s="30"/>
      <c r="C736" s="79"/>
      <c r="D736" s="79"/>
      <c r="E736" s="79"/>
      <c r="F736" s="81" t="s">
        <v>239</v>
      </c>
      <c r="G736" s="97">
        <v>283.212</v>
      </c>
      <c r="H736" s="111"/>
      <c r="I736" s="111"/>
      <c r="J736" s="97">
        <v>-21.5</v>
      </c>
      <c r="K736" s="269">
        <f t="shared" si="144"/>
        <v>261.712</v>
      </c>
      <c r="L736" s="326"/>
      <c r="M736" s="111"/>
      <c r="N736" s="97">
        <f t="shared" si="145"/>
        <v>261.712</v>
      </c>
      <c r="O736" s="97">
        <v>-240.212</v>
      </c>
      <c r="P736" s="269"/>
      <c r="Q736" s="460">
        <f t="shared" si="145"/>
        <v>21.5</v>
      </c>
      <c r="R736" s="460">
        <f t="shared" si="145"/>
        <v>-218.712</v>
      </c>
      <c r="S736" s="496">
        <f t="shared" si="141"/>
        <v>-1017.2651162790696</v>
      </c>
    </row>
    <row r="737" spans="1:19" ht="16.5" customHeight="1">
      <c r="A737" s="138" t="s">
        <v>541</v>
      </c>
      <c r="B737" s="276" t="s">
        <v>299</v>
      </c>
      <c r="C737" s="67" t="s">
        <v>255</v>
      </c>
      <c r="D737" s="67" t="s">
        <v>203</v>
      </c>
      <c r="E737" s="251" t="s">
        <v>329</v>
      </c>
      <c r="F737" s="498"/>
      <c r="G737" s="278">
        <f aca="true" t="shared" si="146" ref="G737:R738">G738</f>
        <v>0</v>
      </c>
      <c r="H737" s="278">
        <f t="shared" si="146"/>
        <v>0</v>
      </c>
      <c r="I737" s="278">
        <f t="shared" si="146"/>
        <v>0</v>
      </c>
      <c r="J737" s="278">
        <f t="shared" si="146"/>
        <v>6331.7</v>
      </c>
      <c r="K737" s="303">
        <f t="shared" si="146"/>
        <v>6331.7</v>
      </c>
      <c r="L737" s="303">
        <f t="shared" si="146"/>
        <v>0</v>
      </c>
      <c r="M737" s="303">
        <f t="shared" si="146"/>
        <v>0</v>
      </c>
      <c r="N737" s="303">
        <f t="shared" si="146"/>
        <v>6331.7</v>
      </c>
      <c r="O737" s="303">
        <f t="shared" si="146"/>
        <v>0</v>
      </c>
      <c r="P737" s="303">
        <f t="shared" si="146"/>
        <v>0</v>
      </c>
      <c r="Q737" s="472">
        <f t="shared" si="146"/>
        <v>3353.01</v>
      </c>
      <c r="R737" s="472">
        <f t="shared" si="146"/>
        <v>3353.009</v>
      </c>
      <c r="S737" s="473">
        <f t="shared" si="141"/>
        <v>99.99997017605077</v>
      </c>
    </row>
    <row r="738" spans="1:19" ht="18.75" customHeight="1">
      <c r="A738" s="103" t="s">
        <v>518</v>
      </c>
      <c r="B738" s="433" t="s">
        <v>299</v>
      </c>
      <c r="C738" s="112" t="s">
        <v>255</v>
      </c>
      <c r="D738" s="112" t="s">
        <v>203</v>
      </c>
      <c r="E738" s="252" t="s">
        <v>519</v>
      </c>
      <c r="F738" s="508"/>
      <c r="G738" s="400">
        <f t="shared" si="146"/>
        <v>0</v>
      </c>
      <c r="H738" s="400">
        <f t="shared" si="146"/>
        <v>0</v>
      </c>
      <c r="I738" s="400">
        <f t="shared" si="146"/>
        <v>0</v>
      </c>
      <c r="J738" s="400">
        <f t="shared" si="146"/>
        <v>6331.7</v>
      </c>
      <c r="K738" s="398">
        <f t="shared" si="146"/>
        <v>6331.7</v>
      </c>
      <c r="L738" s="398">
        <f t="shared" si="146"/>
        <v>0</v>
      </c>
      <c r="M738" s="398">
        <f t="shared" si="146"/>
        <v>0</v>
      </c>
      <c r="N738" s="398">
        <f t="shared" si="146"/>
        <v>6331.7</v>
      </c>
      <c r="O738" s="398">
        <f t="shared" si="146"/>
        <v>0</v>
      </c>
      <c r="P738" s="398">
        <f t="shared" si="146"/>
        <v>0</v>
      </c>
      <c r="Q738" s="449">
        <f t="shared" si="146"/>
        <v>3353.01</v>
      </c>
      <c r="R738" s="449">
        <f t="shared" si="146"/>
        <v>3353.009</v>
      </c>
      <c r="S738" s="465">
        <f t="shared" si="141"/>
        <v>99.99997017605077</v>
      </c>
    </row>
    <row r="739" spans="1:19" ht="16.5" customHeight="1" thickBot="1">
      <c r="A739" s="213" t="s">
        <v>120</v>
      </c>
      <c r="B739" s="399" t="s">
        <v>299</v>
      </c>
      <c r="C739" s="91" t="s">
        <v>255</v>
      </c>
      <c r="D739" s="91" t="s">
        <v>203</v>
      </c>
      <c r="E739" s="266" t="s">
        <v>519</v>
      </c>
      <c r="F739" s="509" t="s">
        <v>112</v>
      </c>
      <c r="G739" s="277"/>
      <c r="H739" s="277"/>
      <c r="I739" s="277"/>
      <c r="J739" s="277">
        <v>6331.7</v>
      </c>
      <c r="K739" s="279">
        <v>6331.7</v>
      </c>
      <c r="L739" s="329"/>
      <c r="M739" s="87"/>
      <c r="N739" s="94">
        <f>K739+L739+M739</f>
        <v>6331.7</v>
      </c>
      <c r="O739" s="94"/>
      <c r="P739" s="291"/>
      <c r="Q739" s="489">
        <v>3353.01</v>
      </c>
      <c r="R739" s="489">
        <v>3353.009</v>
      </c>
      <c r="S739" s="477">
        <f t="shared" si="141"/>
        <v>99.99997017605077</v>
      </c>
    </row>
    <row r="740" spans="1:19" ht="16.5" customHeight="1" hidden="1" thickBot="1">
      <c r="A740" s="138" t="s">
        <v>552</v>
      </c>
      <c r="B740" s="276" t="s">
        <v>299</v>
      </c>
      <c r="C740" s="67" t="s">
        <v>255</v>
      </c>
      <c r="D740" s="67" t="s">
        <v>203</v>
      </c>
      <c r="E740" s="67" t="s">
        <v>553</v>
      </c>
      <c r="F740" s="100"/>
      <c r="G740" s="401"/>
      <c r="H740" s="401"/>
      <c r="I740" s="401"/>
      <c r="J740" s="401"/>
      <c r="K740" s="401"/>
      <c r="L740" s="401"/>
      <c r="M740" s="401"/>
      <c r="N740" s="401"/>
      <c r="O740" s="401"/>
      <c r="P740" s="402"/>
      <c r="Q740" s="480">
        <f>Q741</f>
        <v>0</v>
      </c>
      <c r="R740" s="480">
        <f>R741</f>
        <v>0</v>
      </c>
      <c r="S740" s="486" t="e">
        <f t="shared" si="141"/>
        <v>#DIV/0!</v>
      </c>
    </row>
    <row r="741" spans="1:19" ht="16.5" customHeight="1" hidden="1" thickBot="1">
      <c r="A741" s="510" t="s">
        <v>120</v>
      </c>
      <c r="B741" s="399" t="s">
        <v>299</v>
      </c>
      <c r="C741" s="91" t="s">
        <v>255</v>
      </c>
      <c r="D741" s="91" t="s">
        <v>203</v>
      </c>
      <c r="E741" s="91" t="s">
        <v>553</v>
      </c>
      <c r="F741" s="91" t="s">
        <v>112</v>
      </c>
      <c r="G741" s="219"/>
      <c r="H741" s="219"/>
      <c r="I741" s="219"/>
      <c r="J741" s="219"/>
      <c r="K741" s="219"/>
      <c r="L741" s="219"/>
      <c r="M741" s="219"/>
      <c r="N741" s="219"/>
      <c r="O741" s="219"/>
      <c r="P741" s="382"/>
      <c r="Q741" s="460">
        <v>0</v>
      </c>
      <c r="R741" s="460">
        <v>0</v>
      </c>
      <c r="S741" s="491" t="e">
        <f t="shared" si="141"/>
        <v>#DIV/0!</v>
      </c>
    </row>
    <row r="742" spans="1:19" ht="16.5" customHeight="1">
      <c r="A742" s="447" t="s">
        <v>291</v>
      </c>
      <c r="B742" s="66" t="s">
        <v>299</v>
      </c>
      <c r="C742" s="67" t="s">
        <v>255</v>
      </c>
      <c r="D742" s="67" t="s">
        <v>203</v>
      </c>
      <c r="E742" s="251" t="s">
        <v>292</v>
      </c>
      <c r="F742" s="511"/>
      <c r="G742" s="504"/>
      <c r="H742" s="499"/>
      <c r="I742" s="499"/>
      <c r="J742" s="499"/>
      <c r="K742" s="499"/>
      <c r="L742" s="499"/>
      <c r="M742" s="499"/>
      <c r="N742" s="499"/>
      <c r="O742" s="499"/>
      <c r="P742" s="500"/>
      <c r="Q742" s="472">
        <f>Q743</f>
        <v>35.17615</v>
      </c>
      <c r="R742" s="472">
        <f>R743</f>
        <v>35.17615</v>
      </c>
      <c r="S742" s="473">
        <f t="shared" si="141"/>
        <v>100</v>
      </c>
    </row>
    <row r="743" spans="1:19" ht="26.25" customHeight="1">
      <c r="A743" s="50" t="s">
        <v>557</v>
      </c>
      <c r="B743" s="30" t="s">
        <v>299</v>
      </c>
      <c r="C743" s="31" t="s">
        <v>255</v>
      </c>
      <c r="D743" s="31" t="s">
        <v>203</v>
      </c>
      <c r="E743" s="267" t="s">
        <v>469</v>
      </c>
      <c r="F743" s="512"/>
      <c r="G743" s="208"/>
      <c r="H743" s="158"/>
      <c r="I743" s="158"/>
      <c r="J743" s="158"/>
      <c r="K743" s="158"/>
      <c r="L743" s="158"/>
      <c r="M743" s="158"/>
      <c r="N743" s="158"/>
      <c r="O743" s="158"/>
      <c r="P743" s="294"/>
      <c r="Q743" s="449">
        <f>Q744</f>
        <v>35.17615</v>
      </c>
      <c r="R743" s="449">
        <f>R744</f>
        <v>35.17615</v>
      </c>
      <c r="S743" s="465">
        <f t="shared" si="141"/>
        <v>100</v>
      </c>
    </row>
    <row r="744" spans="1:19" ht="16.5" customHeight="1">
      <c r="A744" s="213" t="s">
        <v>120</v>
      </c>
      <c r="B744" s="220" t="s">
        <v>299</v>
      </c>
      <c r="C744" s="79" t="s">
        <v>255</v>
      </c>
      <c r="D744" s="79" t="s">
        <v>203</v>
      </c>
      <c r="E744" s="155" t="s">
        <v>469</v>
      </c>
      <c r="F744" s="512" t="s">
        <v>112</v>
      </c>
      <c r="G744" s="208"/>
      <c r="H744" s="158"/>
      <c r="I744" s="158"/>
      <c r="J744" s="158"/>
      <c r="K744" s="158"/>
      <c r="L744" s="158"/>
      <c r="M744" s="158"/>
      <c r="N744" s="158"/>
      <c r="O744" s="158"/>
      <c r="P744" s="294"/>
      <c r="Q744" s="448">
        <v>35.17615</v>
      </c>
      <c r="R744" s="448">
        <v>35.17615</v>
      </c>
      <c r="S744" s="444">
        <f t="shared" si="141"/>
        <v>100</v>
      </c>
    </row>
    <row r="745" spans="1:19" ht="16.5" customHeight="1">
      <c r="A745" s="109" t="s">
        <v>414</v>
      </c>
      <c r="B745" s="99" t="s">
        <v>201</v>
      </c>
      <c r="C745" s="112" t="s">
        <v>255</v>
      </c>
      <c r="D745" s="112" t="s">
        <v>203</v>
      </c>
      <c r="E745" s="252" t="s">
        <v>415</v>
      </c>
      <c r="F745" s="513"/>
      <c r="G745" s="88">
        <f aca="true" t="shared" si="147" ref="G745:N745">G746+G763</f>
        <v>39613.43616</v>
      </c>
      <c r="H745" s="88">
        <f t="shared" si="147"/>
        <v>37293.46872653361</v>
      </c>
      <c r="I745" s="88">
        <f t="shared" si="147"/>
        <v>38698.24954625114</v>
      </c>
      <c r="J745" s="88">
        <f t="shared" si="147"/>
        <v>5298.15225</v>
      </c>
      <c r="K745" s="290">
        <f t="shared" si="147"/>
        <v>44911.58841</v>
      </c>
      <c r="L745" s="290">
        <f t="shared" si="147"/>
        <v>-146</v>
      </c>
      <c r="M745" s="290">
        <f t="shared" si="147"/>
        <v>4680.92043</v>
      </c>
      <c r="N745" s="290">
        <f t="shared" si="147"/>
        <v>49446.50884</v>
      </c>
      <c r="O745" s="290">
        <f>O746+O763</f>
        <v>-1536.6488399999998</v>
      </c>
      <c r="P745" s="290">
        <f>P746+P763</f>
        <v>2155.466</v>
      </c>
      <c r="Q745" s="449">
        <f>Q746+Q763</f>
        <v>51570.225999999995</v>
      </c>
      <c r="R745" s="449">
        <f>R746+R763</f>
        <v>50863.627250000005</v>
      </c>
      <c r="S745" s="465">
        <f t="shared" si="141"/>
        <v>98.62983196932278</v>
      </c>
    </row>
    <row r="746" spans="1:19" ht="25.5" customHeight="1">
      <c r="A746" s="109" t="s">
        <v>184</v>
      </c>
      <c r="B746" s="99" t="s">
        <v>299</v>
      </c>
      <c r="C746" s="112" t="s">
        <v>255</v>
      </c>
      <c r="D746" s="112" t="s">
        <v>203</v>
      </c>
      <c r="E746" s="252" t="s">
        <v>412</v>
      </c>
      <c r="F746" s="513"/>
      <c r="G746" s="88">
        <f aca="true" t="shared" si="148" ref="G746:N746">G747+G748</f>
        <v>20971.13856</v>
      </c>
      <c r="H746" s="88">
        <f t="shared" si="148"/>
        <v>19749.627806533605</v>
      </c>
      <c r="I746" s="88">
        <f t="shared" si="148"/>
        <v>20379.450118155146</v>
      </c>
      <c r="J746" s="88">
        <f t="shared" si="148"/>
        <v>2578.05225</v>
      </c>
      <c r="K746" s="290">
        <f t="shared" si="148"/>
        <v>23549.19081</v>
      </c>
      <c r="L746" s="290">
        <f t="shared" si="148"/>
        <v>0</v>
      </c>
      <c r="M746" s="290">
        <f t="shared" si="148"/>
        <v>3011.4164299999998</v>
      </c>
      <c r="N746" s="290">
        <f t="shared" si="148"/>
        <v>26560.60724</v>
      </c>
      <c r="O746" s="290">
        <f>O747+O748</f>
        <v>-1506.8488399999999</v>
      </c>
      <c r="P746" s="290">
        <f>P747+P748</f>
        <v>480.966</v>
      </c>
      <c r="Q746" s="449">
        <f>Q747+Q748</f>
        <v>25534.7244</v>
      </c>
      <c r="R746" s="449">
        <f>R747+R748</f>
        <v>25484.22019</v>
      </c>
      <c r="S746" s="465">
        <f t="shared" si="141"/>
        <v>99.80221360838341</v>
      </c>
    </row>
    <row r="747" spans="1:19" ht="15.75" customHeight="1">
      <c r="A747" s="195" t="s">
        <v>124</v>
      </c>
      <c r="B747" s="214" t="s">
        <v>299</v>
      </c>
      <c r="C747" s="91" t="s">
        <v>255</v>
      </c>
      <c r="D747" s="91" t="s">
        <v>203</v>
      </c>
      <c r="E747" s="266" t="s">
        <v>412</v>
      </c>
      <c r="F747" s="506" t="s">
        <v>238</v>
      </c>
      <c r="G747" s="89">
        <v>66</v>
      </c>
      <c r="H747" s="82">
        <v>66</v>
      </c>
      <c r="I747" s="82">
        <v>66</v>
      </c>
      <c r="J747" s="89">
        <v>21.7</v>
      </c>
      <c r="K747" s="275">
        <v>87.7</v>
      </c>
      <c r="L747" s="315"/>
      <c r="M747" s="82"/>
      <c r="N747" s="89">
        <f>K747+L747+M747</f>
        <v>87.7</v>
      </c>
      <c r="O747" s="89">
        <v>-40.7</v>
      </c>
      <c r="P747" s="275"/>
      <c r="Q747" s="448">
        <f>N747+O747+P747</f>
        <v>47</v>
      </c>
      <c r="R747" s="448">
        <v>47</v>
      </c>
      <c r="S747" s="465">
        <f t="shared" si="141"/>
        <v>100</v>
      </c>
    </row>
    <row r="748" spans="1:19" ht="15.75" customHeight="1" thickBot="1">
      <c r="A748" s="397" t="s">
        <v>120</v>
      </c>
      <c r="B748" s="210" t="s">
        <v>299</v>
      </c>
      <c r="C748" s="118" t="s">
        <v>255</v>
      </c>
      <c r="D748" s="118" t="s">
        <v>203</v>
      </c>
      <c r="E748" s="403" t="s">
        <v>412</v>
      </c>
      <c r="F748" s="514" t="s">
        <v>112</v>
      </c>
      <c r="G748" s="94">
        <f>G749+G752+G754+G755+G756+G757+G758+G759+G760+G761+G762+G750+G753</f>
        <v>20905.13856</v>
      </c>
      <c r="H748" s="94">
        <f>H749+H752+H754+H755+H756+H757+H758+H759+H760+H761+H762+H750+H753</f>
        <v>19683.627806533605</v>
      </c>
      <c r="I748" s="94">
        <f>I749+I752+I754+I755+I756+I757+I758+I759+I760+I761+I762+I750+I753</f>
        <v>20313.450118155146</v>
      </c>
      <c r="J748" s="94">
        <f>J749+J752+J754+J755+J756+J757+J758+J759+J760+J761+J762+J750+J753</f>
        <v>2556.3522500000004</v>
      </c>
      <c r="K748" s="291">
        <f aca="true" t="shared" si="149" ref="K748:Q748">K749+K752+K754+K755+K756+K757+K758+K759+K760+K761+K762+K750+K753+K751</f>
        <v>23461.49081</v>
      </c>
      <c r="L748" s="291">
        <f t="shared" si="149"/>
        <v>0</v>
      </c>
      <c r="M748" s="291">
        <f t="shared" si="149"/>
        <v>3011.4164299999998</v>
      </c>
      <c r="N748" s="291">
        <f t="shared" si="149"/>
        <v>26472.90724</v>
      </c>
      <c r="O748" s="291">
        <f t="shared" si="149"/>
        <v>-1466.1488399999998</v>
      </c>
      <c r="P748" s="291">
        <f t="shared" si="149"/>
        <v>480.966</v>
      </c>
      <c r="Q748" s="489">
        <f t="shared" si="149"/>
        <v>25487.7244</v>
      </c>
      <c r="R748" s="489">
        <v>25437.22019</v>
      </c>
      <c r="S748" s="515">
        <f t="shared" si="141"/>
        <v>99.80184888534028</v>
      </c>
    </row>
    <row r="749" spans="1:19" ht="13.5" customHeight="1" hidden="1">
      <c r="A749" s="139"/>
      <c r="B749" s="99"/>
      <c r="C749" s="100"/>
      <c r="D749" s="100"/>
      <c r="E749" s="100"/>
      <c r="F749" s="101" t="s">
        <v>215</v>
      </c>
      <c r="G749" s="102">
        <v>2908.01307</v>
      </c>
      <c r="H749" s="137">
        <f>15768*0.91</f>
        <v>14348.880000000001</v>
      </c>
      <c r="I749" s="137">
        <f>15768*0.95</f>
        <v>14979.599999999999</v>
      </c>
      <c r="J749" s="102">
        <v>256.06612</v>
      </c>
      <c r="K749" s="280">
        <v>2853.08244</v>
      </c>
      <c r="L749" s="331"/>
      <c r="M749" s="137">
        <v>801.24687</v>
      </c>
      <c r="N749" s="102">
        <f>K749+L749+M749</f>
        <v>3654.32931</v>
      </c>
      <c r="O749" s="102">
        <v>-53.67977</v>
      </c>
      <c r="P749" s="280"/>
      <c r="Q749" s="485">
        <f>N749+O749+P749</f>
        <v>3600.64954</v>
      </c>
      <c r="R749" s="485">
        <f>O749+P749+Q749</f>
        <v>3546.9697699999997</v>
      </c>
      <c r="S749" s="481">
        <f t="shared" si="141"/>
        <v>98.5091642659563</v>
      </c>
    </row>
    <row r="750" spans="1:19" ht="13.5" customHeight="1" hidden="1">
      <c r="A750" s="146"/>
      <c r="B750" s="30"/>
      <c r="C750" s="79"/>
      <c r="D750" s="79"/>
      <c r="E750" s="79" t="s">
        <v>494</v>
      </c>
      <c r="F750" s="81" t="s">
        <v>215</v>
      </c>
      <c r="G750" s="97">
        <v>12418.33628</v>
      </c>
      <c r="H750" s="111"/>
      <c r="I750" s="111"/>
      <c r="J750" s="97">
        <v>1255.42043</v>
      </c>
      <c r="K750" s="275">
        <v>13673.75671</v>
      </c>
      <c r="L750" s="315"/>
      <c r="M750" s="82">
        <v>1402.78628</v>
      </c>
      <c r="N750" s="89">
        <f aca="true" t="shared" si="150" ref="N750:R762">K750+L750+M750</f>
        <v>15076.54299</v>
      </c>
      <c r="O750" s="89">
        <v>-696.01403</v>
      </c>
      <c r="P750" s="275"/>
      <c r="Q750" s="448">
        <f t="shared" si="150"/>
        <v>14380.52896</v>
      </c>
      <c r="R750" s="448">
        <f t="shared" si="150"/>
        <v>13684.51493</v>
      </c>
      <c r="S750" s="465">
        <f t="shared" si="141"/>
        <v>95.16002483680545</v>
      </c>
    </row>
    <row r="751" spans="1:19" ht="13.5" customHeight="1" hidden="1">
      <c r="A751" s="146"/>
      <c r="B751" s="30"/>
      <c r="C751" s="79"/>
      <c r="D751" s="79"/>
      <c r="E751" s="79"/>
      <c r="F751" s="81" t="s">
        <v>216</v>
      </c>
      <c r="G751" s="97"/>
      <c r="H751" s="111"/>
      <c r="I751" s="111"/>
      <c r="J751" s="97"/>
      <c r="K751" s="275"/>
      <c r="L751" s="319">
        <v>0.7</v>
      </c>
      <c r="M751" s="82"/>
      <c r="N751" s="89">
        <f t="shared" si="150"/>
        <v>0.7</v>
      </c>
      <c r="O751" s="89"/>
      <c r="P751" s="275"/>
      <c r="Q751" s="448">
        <f t="shared" si="150"/>
        <v>0.7</v>
      </c>
      <c r="R751" s="448">
        <f t="shared" si="150"/>
        <v>0.7</v>
      </c>
      <c r="S751" s="465">
        <f t="shared" si="141"/>
        <v>100</v>
      </c>
    </row>
    <row r="752" spans="1:19" ht="13.5" hidden="1" thickBot="1">
      <c r="A752" s="146"/>
      <c r="B752" s="30"/>
      <c r="C752" s="79"/>
      <c r="D752" s="79"/>
      <c r="E752" s="79"/>
      <c r="F752" s="81" t="s">
        <v>217</v>
      </c>
      <c r="G752" s="97">
        <v>878.21994</v>
      </c>
      <c r="H752" s="111">
        <f>H749*0.302</f>
        <v>4333.36176</v>
      </c>
      <c r="I752" s="111">
        <f>I749*0.302*0.95</f>
        <v>4297.647239999999</v>
      </c>
      <c r="J752" s="97">
        <v>89.14043</v>
      </c>
      <c r="K752" s="275">
        <v>967.36037</v>
      </c>
      <c r="L752" s="319"/>
      <c r="M752" s="82">
        <v>241.976</v>
      </c>
      <c r="N752" s="89">
        <f t="shared" si="150"/>
        <v>1209.33637</v>
      </c>
      <c r="O752" s="89">
        <v>-22.99586</v>
      </c>
      <c r="P752" s="275"/>
      <c r="Q752" s="448">
        <f t="shared" si="150"/>
        <v>1186.34051</v>
      </c>
      <c r="R752" s="448">
        <f t="shared" si="150"/>
        <v>1163.34465</v>
      </c>
      <c r="S752" s="465">
        <f t="shared" si="141"/>
        <v>98.06161386160538</v>
      </c>
    </row>
    <row r="753" spans="1:19" ht="13.5" hidden="1" thickBot="1">
      <c r="A753" s="146"/>
      <c r="B753" s="30"/>
      <c r="C753" s="79"/>
      <c r="D753" s="79"/>
      <c r="E753" s="79" t="s">
        <v>494</v>
      </c>
      <c r="F753" s="81" t="s">
        <v>217</v>
      </c>
      <c r="G753" s="97">
        <v>3750.33756</v>
      </c>
      <c r="H753" s="111"/>
      <c r="I753" s="111"/>
      <c r="J753" s="97">
        <v>376.62505</v>
      </c>
      <c r="K753" s="275">
        <v>4126.96261</v>
      </c>
      <c r="L753" s="319"/>
      <c r="M753" s="82">
        <v>268.50528</v>
      </c>
      <c r="N753" s="89">
        <f t="shared" si="150"/>
        <v>4395.46789</v>
      </c>
      <c r="O753" s="89">
        <v>-558.07759</v>
      </c>
      <c r="P753" s="275"/>
      <c r="Q753" s="448">
        <f t="shared" si="150"/>
        <v>3837.3903</v>
      </c>
      <c r="R753" s="448">
        <f t="shared" si="150"/>
        <v>3279.31271</v>
      </c>
      <c r="S753" s="465">
        <f t="shared" si="141"/>
        <v>85.45684576312188</v>
      </c>
    </row>
    <row r="754" spans="1:19" ht="13.5" hidden="1" thickBot="1">
      <c r="A754" s="106"/>
      <c r="B754" s="71"/>
      <c r="C754" s="76"/>
      <c r="D754" s="76"/>
      <c r="E754" s="76"/>
      <c r="F754" s="78" t="s">
        <v>233</v>
      </c>
      <c r="G754" s="89">
        <v>42.64845</v>
      </c>
      <c r="H754" s="82">
        <f>35*0.91</f>
        <v>31.85</v>
      </c>
      <c r="I754" s="82">
        <f>36*0.95</f>
        <v>34.199999999999996</v>
      </c>
      <c r="J754" s="89">
        <v>-7.17915</v>
      </c>
      <c r="K754" s="275">
        <v>35.4693</v>
      </c>
      <c r="L754" s="319"/>
      <c r="M754" s="82"/>
      <c r="N754" s="89">
        <f t="shared" si="150"/>
        <v>35.4693</v>
      </c>
      <c r="O754" s="89">
        <v>2.02481</v>
      </c>
      <c r="P754" s="275"/>
      <c r="Q754" s="448">
        <f t="shared" si="150"/>
        <v>37.49411</v>
      </c>
      <c r="R754" s="448">
        <f t="shared" si="150"/>
        <v>39.51892</v>
      </c>
      <c r="S754" s="465">
        <f t="shared" si="141"/>
        <v>105.40034154697899</v>
      </c>
    </row>
    <row r="755" spans="1:19" ht="13.5" hidden="1" thickBot="1">
      <c r="A755" s="146"/>
      <c r="B755" s="30"/>
      <c r="C755" s="79"/>
      <c r="D755" s="79"/>
      <c r="E755" s="79"/>
      <c r="F755" s="81" t="s">
        <v>234</v>
      </c>
      <c r="G755" s="102">
        <v>0</v>
      </c>
      <c r="H755" s="137">
        <f>G755*1.052*0.91</f>
        <v>0</v>
      </c>
      <c r="I755" s="137">
        <f>H755*1.049*0.95</f>
        <v>0</v>
      </c>
      <c r="J755" s="102"/>
      <c r="K755" s="275">
        <f>G755+J755</f>
        <v>0</v>
      </c>
      <c r="L755" s="319">
        <v>4</v>
      </c>
      <c r="M755" s="82"/>
      <c r="N755" s="89">
        <f t="shared" si="150"/>
        <v>4</v>
      </c>
      <c r="O755" s="89">
        <v>18.8</v>
      </c>
      <c r="P755" s="275"/>
      <c r="Q755" s="448">
        <f t="shared" si="150"/>
        <v>22.8</v>
      </c>
      <c r="R755" s="448">
        <f t="shared" si="150"/>
        <v>41.6</v>
      </c>
      <c r="S755" s="465">
        <f t="shared" si="141"/>
        <v>182.45614035087718</v>
      </c>
    </row>
    <row r="756" spans="1:19" ht="13.5" hidden="1" thickBot="1">
      <c r="A756" s="146"/>
      <c r="B756" s="30"/>
      <c r="C756" s="79"/>
      <c r="D756" s="79"/>
      <c r="E756" s="79"/>
      <c r="F756" s="81" t="s">
        <v>244</v>
      </c>
      <c r="G756" s="102">
        <v>442.88828</v>
      </c>
      <c r="H756" s="137">
        <f>G756*1.1*0.91</f>
        <v>443.33116828000004</v>
      </c>
      <c r="I756" s="137">
        <f>H756*1.108*0.95</f>
        <v>466.65038773152804</v>
      </c>
      <c r="J756" s="102">
        <v>-29.93503</v>
      </c>
      <c r="K756" s="275">
        <v>412.95</v>
      </c>
      <c r="L756" s="319">
        <v>1.51</v>
      </c>
      <c r="M756" s="82">
        <v>42.05</v>
      </c>
      <c r="N756" s="89">
        <f t="shared" si="150"/>
        <v>456.51</v>
      </c>
      <c r="O756" s="89">
        <v>99.36795</v>
      </c>
      <c r="P756" s="275"/>
      <c r="Q756" s="448">
        <f t="shared" si="150"/>
        <v>555.8779499999999</v>
      </c>
      <c r="R756" s="448">
        <f t="shared" si="150"/>
        <v>655.2458999999999</v>
      </c>
      <c r="S756" s="465">
        <f t="shared" si="141"/>
        <v>117.87585746115671</v>
      </c>
    </row>
    <row r="757" spans="1:19" ht="13.5" hidden="1" thickBot="1">
      <c r="A757" s="106"/>
      <c r="B757" s="71"/>
      <c r="C757" s="76"/>
      <c r="D757" s="76"/>
      <c r="E757" s="76"/>
      <c r="F757" s="78" t="s">
        <v>245</v>
      </c>
      <c r="G757" s="89"/>
      <c r="H757" s="82"/>
      <c r="I757" s="82"/>
      <c r="J757" s="89"/>
      <c r="K757" s="275">
        <f>G757+J757</f>
        <v>0</v>
      </c>
      <c r="L757" s="319"/>
      <c r="M757" s="82"/>
      <c r="N757" s="89">
        <f t="shared" si="150"/>
        <v>0</v>
      </c>
      <c r="O757" s="89"/>
      <c r="P757" s="275"/>
      <c r="Q757" s="448">
        <f t="shared" si="150"/>
        <v>0</v>
      </c>
      <c r="R757" s="448">
        <f t="shared" si="150"/>
        <v>0</v>
      </c>
      <c r="S757" s="465" t="e">
        <f t="shared" si="141"/>
        <v>#DIV/0!</v>
      </c>
    </row>
    <row r="758" spans="1:19" ht="13.5" hidden="1" thickBot="1">
      <c r="A758" s="146"/>
      <c r="B758" s="30"/>
      <c r="C758" s="79"/>
      <c r="D758" s="79"/>
      <c r="E758" s="79"/>
      <c r="F758" s="81" t="s">
        <v>235</v>
      </c>
      <c r="G758" s="89">
        <v>113.655</v>
      </c>
      <c r="H758" s="82">
        <f>G758*1.052*0.91</f>
        <v>108.8042046</v>
      </c>
      <c r="I758" s="82">
        <f>H758*1.049*0.95</f>
        <v>108.42883009413</v>
      </c>
      <c r="J758" s="89">
        <f>-17.0131+203.371</f>
        <v>186.3579</v>
      </c>
      <c r="K758" s="275">
        <f>96.6419+305+209.371</f>
        <v>611.0129000000001</v>
      </c>
      <c r="L758" s="319">
        <v>1.5</v>
      </c>
      <c r="M758" s="82">
        <v>86.288</v>
      </c>
      <c r="N758" s="89">
        <f t="shared" si="150"/>
        <v>698.8009000000001</v>
      </c>
      <c r="O758" s="89">
        <f>5.26072+11</f>
        <v>16.26072</v>
      </c>
      <c r="P758" s="275">
        <v>39.966</v>
      </c>
      <c r="Q758" s="448">
        <f t="shared" si="150"/>
        <v>755.0276200000001</v>
      </c>
      <c r="R758" s="448">
        <f t="shared" si="150"/>
        <v>811.2543400000001</v>
      </c>
      <c r="S758" s="465">
        <f t="shared" si="141"/>
        <v>107.44697525105109</v>
      </c>
    </row>
    <row r="759" spans="1:19" ht="13.5" hidden="1" thickBot="1">
      <c r="A759" s="106"/>
      <c r="B759" s="71"/>
      <c r="C759" s="76"/>
      <c r="D759" s="76"/>
      <c r="E759" s="76"/>
      <c r="F759" s="78" t="s">
        <v>236</v>
      </c>
      <c r="G759" s="89">
        <v>31</v>
      </c>
      <c r="H759" s="82">
        <f>115*0.91</f>
        <v>104.65</v>
      </c>
      <c r="I759" s="82">
        <f>120*0.95</f>
        <v>114</v>
      </c>
      <c r="J759" s="89">
        <v>367.546</v>
      </c>
      <c r="K759" s="275">
        <f>391.546+7</f>
        <v>398.546</v>
      </c>
      <c r="L759" s="319">
        <v>-7.71</v>
      </c>
      <c r="M759" s="82"/>
      <c r="N759" s="89">
        <f t="shared" si="150"/>
        <v>390.836</v>
      </c>
      <c r="O759" s="89">
        <v>-254.2804</v>
      </c>
      <c r="P759" s="275">
        <v>350</v>
      </c>
      <c r="Q759" s="448">
        <f t="shared" si="150"/>
        <v>486.5556</v>
      </c>
      <c r="R759" s="448">
        <f t="shared" si="150"/>
        <v>582.2752</v>
      </c>
      <c r="S759" s="465">
        <f t="shared" si="141"/>
        <v>119.67290069213057</v>
      </c>
    </row>
    <row r="760" spans="1:19" ht="13.5" hidden="1" thickBot="1">
      <c r="A760" s="106"/>
      <c r="B760" s="71"/>
      <c r="C760" s="76"/>
      <c r="D760" s="76"/>
      <c r="E760" s="76"/>
      <c r="F760" s="78" t="s">
        <v>237</v>
      </c>
      <c r="G760" s="89">
        <f>211.164+51.37598</f>
        <v>262.53998</v>
      </c>
      <c r="H760" s="82">
        <f>G760*1.052*0.91</f>
        <v>251.33477365360005</v>
      </c>
      <c r="I760" s="82">
        <f>H760*1.049*0.95</f>
        <v>250.4676686844951</v>
      </c>
      <c r="J760" s="89">
        <v>-24.1895</v>
      </c>
      <c r="K760" s="275">
        <f>196.05572+42.29476</f>
        <v>238.35048</v>
      </c>
      <c r="L760" s="319">
        <v>2.6</v>
      </c>
      <c r="M760" s="82">
        <v>168.564</v>
      </c>
      <c r="N760" s="89">
        <f t="shared" si="150"/>
        <v>409.51448</v>
      </c>
      <c r="O760" s="89">
        <v>42.48693</v>
      </c>
      <c r="P760" s="275"/>
      <c r="Q760" s="448">
        <f t="shared" si="150"/>
        <v>452.00140999999996</v>
      </c>
      <c r="R760" s="448">
        <f t="shared" si="150"/>
        <v>494.48834</v>
      </c>
      <c r="S760" s="465">
        <f t="shared" si="141"/>
        <v>109.39973395215736</v>
      </c>
    </row>
    <row r="761" spans="1:19" ht="13.5" hidden="1" thickBot="1">
      <c r="A761" s="146"/>
      <c r="B761" s="30"/>
      <c r="C761" s="79"/>
      <c r="D761" s="79"/>
      <c r="E761" s="79"/>
      <c r="F761" s="81" t="s">
        <v>238</v>
      </c>
      <c r="G761" s="97">
        <v>0</v>
      </c>
      <c r="H761" s="111">
        <f>7*0.91</f>
        <v>6.37</v>
      </c>
      <c r="I761" s="111">
        <f>8*0.95</f>
        <v>7.6</v>
      </c>
      <c r="J761" s="97">
        <v>60</v>
      </c>
      <c r="K761" s="275">
        <v>60</v>
      </c>
      <c r="L761" s="319"/>
      <c r="M761" s="82"/>
      <c r="N761" s="89">
        <f t="shared" si="150"/>
        <v>60</v>
      </c>
      <c r="O761" s="89">
        <v>-60</v>
      </c>
      <c r="P761" s="275"/>
      <c r="Q761" s="448">
        <f t="shared" si="150"/>
        <v>0</v>
      </c>
      <c r="R761" s="448">
        <f t="shared" si="150"/>
        <v>-60</v>
      </c>
      <c r="S761" s="465" t="e">
        <f t="shared" si="141"/>
        <v>#DIV/0!</v>
      </c>
    </row>
    <row r="762" spans="1:19" ht="13.5" hidden="1" thickBot="1">
      <c r="A762" s="146"/>
      <c r="B762" s="30"/>
      <c r="C762" s="79"/>
      <c r="D762" s="79"/>
      <c r="E762" s="79"/>
      <c r="F762" s="81" t="s">
        <v>239</v>
      </c>
      <c r="G762" s="97">
        <v>57.5</v>
      </c>
      <c r="H762" s="111">
        <f>G762*1.052*0.91</f>
        <v>55.0459</v>
      </c>
      <c r="I762" s="111">
        <f>H762*1.049*0.95</f>
        <v>54.855991644999996</v>
      </c>
      <c r="J762" s="97">
        <v>26.5</v>
      </c>
      <c r="K762" s="275">
        <v>84</v>
      </c>
      <c r="L762" s="319">
        <v>-2.6</v>
      </c>
      <c r="M762" s="82"/>
      <c r="N762" s="89">
        <f t="shared" si="150"/>
        <v>81.4</v>
      </c>
      <c r="O762" s="89">
        <v>-0.0416</v>
      </c>
      <c r="P762" s="275">
        <v>91</v>
      </c>
      <c r="Q762" s="448">
        <f t="shared" si="150"/>
        <v>172.35840000000002</v>
      </c>
      <c r="R762" s="448">
        <f t="shared" si="150"/>
        <v>263.3168</v>
      </c>
      <c r="S762" s="465">
        <f t="shared" si="141"/>
        <v>152.77282685381158</v>
      </c>
    </row>
    <row r="763" spans="1:19" ht="27" customHeight="1">
      <c r="A763" s="65" t="s">
        <v>416</v>
      </c>
      <c r="B763" s="66" t="s">
        <v>340</v>
      </c>
      <c r="C763" s="67" t="s">
        <v>255</v>
      </c>
      <c r="D763" s="67" t="s">
        <v>203</v>
      </c>
      <c r="E763" s="67" t="s">
        <v>415</v>
      </c>
      <c r="F763" s="69"/>
      <c r="G763" s="200">
        <f aca="true" t="shared" si="151" ref="G763:R763">G764</f>
        <v>18642.2976</v>
      </c>
      <c r="H763" s="70">
        <f t="shared" si="151"/>
        <v>17543.840920000002</v>
      </c>
      <c r="I763" s="70">
        <f t="shared" si="151"/>
        <v>18318.799428096</v>
      </c>
      <c r="J763" s="200">
        <f t="shared" si="151"/>
        <v>2720.1</v>
      </c>
      <c r="K763" s="286">
        <f t="shared" si="151"/>
        <v>21362.397599999997</v>
      </c>
      <c r="L763" s="286">
        <f t="shared" si="151"/>
        <v>-146</v>
      </c>
      <c r="M763" s="286">
        <f t="shared" si="151"/>
        <v>1669.504</v>
      </c>
      <c r="N763" s="286">
        <f t="shared" si="151"/>
        <v>22885.9016</v>
      </c>
      <c r="O763" s="286">
        <f t="shared" si="151"/>
        <v>-29.8</v>
      </c>
      <c r="P763" s="286">
        <f t="shared" si="151"/>
        <v>1674.5</v>
      </c>
      <c r="Q763" s="449">
        <f t="shared" si="151"/>
        <v>26035.5016</v>
      </c>
      <c r="R763" s="449">
        <f t="shared" si="151"/>
        <v>25379.40706</v>
      </c>
      <c r="S763" s="465">
        <f t="shared" si="141"/>
        <v>97.48000038532003</v>
      </c>
    </row>
    <row r="764" spans="1:19" ht="28.5" customHeight="1">
      <c r="A764" s="46" t="s">
        <v>184</v>
      </c>
      <c r="B764" s="71" t="s">
        <v>340</v>
      </c>
      <c r="C764" s="72" t="s">
        <v>255</v>
      </c>
      <c r="D764" s="72" t="s">
        <v>203</v>
      </c>
      <c r="E764" s="72" t="s">
        <v>412</v>
      </c>
      <c r="F764" s="74"/>
      <c r="G764" s="96">
        <f aca="true" t="shared" si="152" ref="G764:N764">G767+G768</f>
        <v>18642.2976</v>
      </c>
      <c r="H764" s="96">
        <f t="shared" si="152"/>
        <v>17543.840920000002</v>
      </c>
      <c r="I764" s="96">
        <f t="shared" si="152"/>
        <v>18318.799428096</v>
      </c>
      <c r="J764" s="96">
        <f t="shared" si="152"/>
        <v>2720.1</v>
      </c>
      <c r="K764" s="287">
        <f t="shared" si="152"/>
        <v>21362.397599999997</v>
      </c>
      <c r="L764" s="287">
        <f t="shared" si="152"/>
        <v>-146</v>
      </c>
      <c r="M764" s="287">
        <f t="shared" si="152"/>
        <v>1669.504</v>
      </c>
      <c r="N764" s="287">
        <f t="shared" si="152"/>
        <v>22885.9016</v>
      </c>
      <c r="O764" s="287">
        <f>O767+O768</f>
        <v>-29.8</v>
      </c>
      <c r="P764" s="287">
        <f>P767+P768</f>
        <v>1674.5</v>
      </c>
      <c r="Q764" s="449">
        <f>Q767+Q768</f>
        <v>26035.5016</v>
      </c>
      <c r="R764" s="449">
        <f>R767+R768</f>
        <v>25379.40706</v>
      </c>
      <c r="S764" s="465">
        <f t="shared" si="141"/>
        <v>97.48000038532003</v>
      </c>
    </row>
    <row r="765" spans="1:19" ht="0.75" customHeight="1" hidden="1">
      <c r="A765" s="109"/>
      <c r="B765" s="99" t="s">
        <v>340</v>
      </c>
      <c r="C765" s="100" t="s">
        <v>255</v>
      </c>
      <c r="D765" s="100" t="s">
        <v>203</v>
      </c>
      <c r="E765" s="100" t="s">
        <v>412</v>
      </c>
      <c r="F765" s="101" t="s">
        <v>399</v>
      </c>
      <c r="G765" s="89">
        <f>G766</f>
        <v>0</v>
      </c>
      <c r="H765" s="82">
        <f>H766</f>
        <v>0</v>
      </c>
      <c r="I765" s="82">
        <f>I766</f>
        <v>0</v>
      </c>
      <c r="J765" s="89">
        <f>J766</f>
        <v>0</v>
      </c>
      <c r="K765" s="275">
        <f>K766</f>
        <v>0</v>
      </c>
      <c r="L765" s="315"/>
      <c r="M765" s="82"/>
      <c r="N765" s="89"/>
      <c r="O765" s="89"/>
      <c r="P765" s="275"/>
      <c r="Q765" s="448"/>
      <c r="R765" s="448"/>
      <c r="S765" s="465" t="e">
        <f t="shared" si="141"/>
        <v>#DIV/0!</v>
      </c>
    </row>
    <row r="766" spans="1:19" ht="12.75" hidden="1">
      <c r="A766" s="109"/>
      <c r="B766" s="99"/>
      <c r="C766" s="100"/>
      <c r="D766" s="100"/>
      <c r="E766" s="100"/>
      <c r="F766" s="101" t="s">
        <v>216</v>
      </c>
      <c r="G766" s="89"/>
      <c r="H766" s="82"/>
      <c r="I766" s="82"/>
      <c r="J766" s="89"/>
      <c r="K766" s="275"/>
      <c r="L766" s="315"/>
      <c r="M766" s="82"/>
      <c r="N766" s="89"/>
      <c r="O766" s="89"/>
      <c r="P766" s="275"/>
      <c r="Q766" s="448"/>
      <c r="R766" s="448"/>
      <c r="S766" s="465" t="e">
        <f t="shared" si="141"/>
        <v>#DIV/0!</v>
      </c>
    </row>
    <row r="767" spans="1:19" ht="15.75" customHeight="1">
      <c r="A767" s="181" t="s">
        <v>124</v>
      </c>
      <c r="B767" s="141" t="s">
        <v>340</v>
      </c>
      <c r="C767" s="76" t="s">
        <v>255</v>
      </c>
      <c r="D767" s="76" t="s">
        <v>203</v>
      </c>
      <c r="E767" s="76" t="s">
        <v>412</v>
      </c>
      <c r="F767" s="78" t="s">
        <v>238</v>
      </c>
      <c r="G767" s="89">
        <v>60</v>
      </c>
      <c r="H767" s="82">
        <v>60</v>
      </c>
      <c r="I767" s="82">
        <v>60</v>
      </c>
      <c r="J767" s="89"/>
      <c r="K767" s="275">
        <v>60</v>
      </c>
      <c r="L767" s="315"/>
      <c r="M767" s="82"/>
      <c r="N767" s="89">
        <f>K767+L767+M767</f>
        <v>60</v>
      </c>
      <c r="O767" s="378">
        <v>-17.8</v>
      </c>
      <c r="P767" s="275"/>
      <c r="Q767" s="448">
        <f>N767+O767+P767</f>
        <v>42.2</v>
      </c>
      <c r="R767" s="448">
        <v>42.2</v>
      </c>
      <c r="S767" s="444">
        <f t="shared" si="141"/>
        <v>100</v>
      </c>
    </row>
    <row r="768" spans="1:19" ht="15.75" customHeight="1" thickBot="1">
      <c r="A768" s="397" t="s">
        <v>120</v>
      </c>
      <c r="B768" s="210" t="s">
        <v>340</v>
      </c>
      <c r="C768" s="118" t="s">
        <v>255</v>
      </c>
      <c r="D768" s="118" t="s">
        <v>203</v>
      </c>
      <c r="E768" s="118" t="s">
        <v>412</v>
      </c>
      <c r="F768" s="119" t="s">
        <v>112</v>
      </c>
      <c r="G768" s="94">
        <f aca="true" t="shared" si="153" ref="G768:N768">G769+G771+G772+G774+G775+G776+G777+G778+G779+G780+G781+G782+G770+G773</f>
        <v>18582.2976</v>
      </c>
      <c r="H768" s="94">
        <f t="shared" si="153"/>
        <v>17483.840920000002</v>
      </c>
      <c r="I768" s="94">
        <f t="shared" si="153"/>
        <v>18258.799428096</v>
      </c>
      <c r="J768" s="94">
        <f t="shared" si="153"/>
        <v>2720.1</v>
      </c>
      <c r="K768" s="291">
        <f t="shared" si="153"/>
        <v>21302.397599999997</v>
      </c>
      <c r="L768" s="291">
        <f t="shared" si="153"/>
        <v>-146</v>
      </c>
      <c r="M768" s="291">
        <f t="shared" si="153"/>
        <v>1669.504</v>
      </c>
      <c r="N768" s="291">
        <f t="shared" si="153"/>
        <v>22825.9016</v>
      </c>
      <c r="O768" s="291">
        <f>O769+O771+O772+O774+O775+O776+O777+O778+O779+O780+O781+O782+O770+O773</f>
        <v>-12</v>
      </c>
      <c r="P768" s="291">
        <f>P769+P771+P772+P774+P775+P776+P777+P778+P779+P780+P781+P782+P770+P773</f>
        <v>1674.5</v>
      </c>
      <c r="Q768" s="448">
        <v>25993.3016</v>
      </c>
      <c r="R768" s="448">
        <v>25337.20706</v>
      </c>
      <c r="S768" s="444">
        <f t="shared" si="141"/>
        <v>97.47590917807841</v>
      </c>
    </row>
    <row r="769" spans="1:19" ht="16.5" customHeight="1" hidden="1">
      <c r="A769" s="29"/>
      <c r="B769" s="30"/>
      <c r="C769" s="31"/>
      <c r="D769" s="31"/>
      <c r="E769" s="31"/>
      <c r="F769" s="81" t="s">
        <v>215</v>
      </c>
      <c r="G769" s="89">
        <v>5897.8</v>
      </c>
      <c r="H769" s="82">
        <f>13530*0.91</f>
        <v>12312.300000000001</v>
      </c>
      <c r="I769" s="82">
        <f>13530*0.95</f>
        <v>12853.5</v>
      </c>
      <c r="J769" s="89">
        <v>763.4</v>
      </c>
      <c r="K769" s="275">
        <v>6661.2</v>
      </c>
      <c r="L769" s="315"/>
      <c r="M769" s="82"/>
      <c r="N769" s="89">
        <f>K769+L769+M769</f>
        <v>6661.2</v>
      </c>
      <c r="O769" s="378">
        <v>21.5</v>
      </c>
      <c r="P769" s="451">
        <v>187.45</v>
      </c>
      <c r="Q769" s="448">
        <f>N769+O769+P769</f>
        <v>6870.15</v>
      </c>
      <c r="R769" s="448">
        <f>O769+P769+Q769</f>
        <v>7079.099999999999</v>
      </c>
      <c r="S769" s="465">
        <f t="shared" si="141"/>
        <v>103.04141830964389</v>
      </c>
    </row>
    <row r="770" spans="1:19" ht="14.25" customHeight="1" hidden="1">
      <c r="A770" s="46"/>
      <c r="B770" s="71"/>
      <c r="C770" s="72"/>
      <c r="D770" s="72"/>
      <c r="E770" s="76" t="s">
        <v>494</v>
      </c>
      <c r="F770" s="81" t="s">
        <v>215</v>
      </c>
      <c r="G770" s="89">
        <v>7261.4</v>
      </c>
      <c r="H770" s="82"/>
      <c r="I770" s="82"/>
      <c r="J770" s="89">
        <v>1115.6</v>
      </c>
      <c r="K770" s="275">
        <v>8377</v>
      </c>
      <c r="L770" s="315"/>
      <c r="M770" s="82">
        <v>719.5</v>
      </c>
      <c r="N770" s="89">
        <f aca="true" t="shared" si="154" ref="N770:R782">K770+L770+M770</f>
        <v>9096.5</v>
      </c>
      <c r="O770" s="378">
        <v>-21.5</v>
      </c>
      <c r="P770" s="451">
        <f>208.95+900</f>
        <v>1108.95</v>
      </c>
      <c r="Q770" s="448">
        <f t="shared" si="154"/>
        <v>10183.95</v>
      </c>
      <c r="R770" s="448">
        <f t="shared" si="154"/>
        <v>11271.400000000001</v>
      </c>
      <c r="S770" s="465">
        <f t="shared" si="141"/>
        <v>110.67807677767468</v>
      </c>
    </row>
    <row r="771" spans="1:19" ht="13.5" hidden="1" thickBot="1">
      <c r="A771" s="46"/>
      <c r="B771" s="71"/>
      <c r="C771" s="72"/>
      <c r="D771" s="72"/>
      <c r="E771" s="72"/>
      <c r="F771" s="78" t="s">
        <v>216</v>
      </c>
      <c r="G771" s="89">
        <v>3</v>
      </c>
      <c r="H771" s="82">
        <f>G771*1.052*0.91</f>
        <v>2.87196</v>
      </c>
      <c r="I771" s="82">
        <f>H771*1.049*0.95</f>
        <v>2.8620517379999995</v>
      </c>
      <c r="J771" s="89"/>
      <c r="K771" s="275">
        <v>3</v>
      </c>
      <c r="L771" s="315"/>
      <c r="M771" s="82">
        <v>3</v>
      </c>
      <c r="N771" s="89">
        <f t="shared" si="154"/>
        <v>6</v>
      </c>
      <c r="O771" s="89"/>
      <c r="P771" s="275"/>
      <c r="Q771" s="448">
        <f t="shared" si="154"/>
        <v>6</v>
      </c>
      <c r="R771" s="448">
        <f t="shared" si="154"/>
        <v>6</v>
      </c>
      <c r="S771" s="465">
        <f t="shared" si="141"/>
        <v>100</v>
      </c>
    </row>
    <row r="772" spans="1:19" ht="13.5" hidden="1" thickBot="1">
      <c r="A772" s="29"/>
      <c r="B772" s="30"/>
      <c r="C772" s="31"/>
      <c r="D772" s="31"/>
      <c r="E772" s="31"/>
      <c r="F772" s="81" t="s">
        <v>217</v>
      </c>
      <c r="G772" s="89">
        <v>1781.8976</v>
      </c>
      <c r="H772" s="82">
        <f>H769*0.302</f>
        <v>3718.3146</v>
      </c>
      <c r="I772" s="82">
        <f>I769*0.302</f>
        <v>3881.757</v>
      </c>
      <c r="J772" s="89">
        <v>230.5</v>
      </c>
      <c r="K772" s="275">
        <v>2012.3976</v>
      </c>
      <c r="L772" s="315"/>
      <c r="M772" s="82"/>
      <c r="N772" s="89">
        <f t="shared" si="154"/>
        <v>2012.3976</v>
      </c>
      <c r="O772" s="378">
        <v>104.4568</v>
      </c>
      <c r="P772" s="451">
        <v>17.465</v>
      </c>
      <c r="Q772" s="448">
        <f t="shared" si="154"/>
        <v>2134.3194000000003</v>
      </c>
      <c r="R772" s="448">
        <f t="shared" si="154"/>
        <v>2256.2412000000004</v>
      </c>
      <c r="S772" s="465">
        <f t="shared" si="141"/>
        <v>105.71244397628583</v>
      </c>
    </row>
    <row r="773" spans="1:19" ht="13.5" hidden="1" thickBot="1">
      <c r="A773" s="29"/>
      <c r="B773" s="30"/>
      <c r="C773" s="31"/>
      <c r="D773" s="31"/>
      <c r="E773" s="79" t="s">
        <v>494</v>
      </c>
      <c r="F773" s="81" t="s">
        <v>217</v>
      </c>
      <c r="G773" s="89">
        <v>2192.2</v>
      </c>
      <c r="H773" s="82"/>
      <c r="I773" s="82"/>
      <c r="J773" s="89">
        <v>336.9</v>
      </c>
      <c r="K773" s="275">
        <v>2529.1</v>
      </c>
      <c r="L773" s="315"/>
      <c r="M773" s="82">
        <v>219.1</v>
      </c>
      <c r="N773" s="89">
        <f t="shared" si="154"/>
        <v>2748.2</v>
      </c>
      <c r="O773" s="378">
        <v>-102.4568</v>
      </c>
      <c r="P773" s="451">
        <f>90.635+270</f>
        <v>360.635</v>
      </c>
      <c r="Q773" s="448">
        <f t="shared" si="154"/>
        <v>3006.3782</v>
      </c>
      <c r="R773" s="448">
        <f t="shared" si="154"/>
        <v>3264.5564</v>
      </c>
      <c r="S773" s="465">
        <f t="shared" si="141"/>
        <v>108.58768201552287</v>
      </c>
    </row>
    <row r="774" spans="1:19" ht="13.5" hidden="1" thickBot="1">
      <c r="A774" s="46"/>
      <c r="B774" s="71"/>
      <c r="C774" s="72"/>
      <c r="D774" s="72"/>
      <c r="E774" s="72"/>
      <c r="F774" s="78" t="s">
        <v>233</v>
      </c>
      <c r="G774" s="89">
        <v>53</v>
      </c>
      <c r="H774" s="82">
        <f>G774*1.052*0.91</f>
        <v>50.73796</v>
      </c>
      <c r="I774" s="82">
        <f>H774*1.049*0.95</f>
        <v>50.562914037999995</v>
      </c>
      <c r="J774" s="89"/>
      <c r="K774" s="275">
        <v>53</v>
      </c>
      <c r="L774" s="315"/>
      <c r="M774" s="82">
        <v>32</v>
      </c>
      <c r="N774" s="89">
        <f t="shared" si="154"/>
        <v>85</v>
      </c>
      <c r="O774" s="89"/>
      <c r="P774" s="275"/>
      <c r="Q774" s="448">
        <f t="shared" si="154"/>
        <v>85</v>
      </c>
      <c r="R774" s="448">
        <f t="shared" si="154"/>
        <v>85</v>
      </c>
      <c r="S774" s="465">
        <f t="shared" si="141"/>
        <v>100</v>
      </c>
    </row>
    <row r="775" spans="1:19" ht="13.5" hidden="1" thickBot="1">
      <c r="A775" s="29"/>
      <c r="B775" s="30"/>
      <c r="C775" s="31"/>
      <c r="D775" s="31"/>
      <c r="E775" s="31"/>
      <c r="F775" s="81" t="s">
        <v>234</v>
      </c>
      <c r="G775" s="89">
        <v>3</v>
      </c>
      <c r="H775" s="82">
        <f>4*0.91</f>
        <v>3.64</v>
      </c>
      <c r="I775" s="82">
        <f>5*0.95</f>
        <v>4.75</v>
      </c>
      <c r="J775" s="89"/>
      <c r="K775" s="275">
        <v>3</v>
      </c>
      <c r="L775" s="315"/>
      <c r="M775" s="82">
        <v>6</v>
      </c>
      <c r="N775" s="89">
        <f t="shared" si="154"/>
        <v>9</v>
      </c>
      <c r="O775" s="89"/>
      <c r="P775" s="275"/>
      <c r="Q775" s="448">
        <f t="shared" si="154"/>
        <v>9</v>
      </c>
      <c r="R775" s="448">
        <f t="shared" si="154"/>
        <v>9</v>
      </c>
      <c r="S775" s="465">
        <f t="shared" si="141"/>
        <v>100</v>
      </c>
    </row>
    <row r="776" spans="1:19" ht="13.5" hidden="1" thickBot="1">
      <c r="A776" s="46"/>
      <c r="B776" s="71"/>
      <c r="C776" s="72"/>
      <c r="D776" s="72"/>
      <c r="E776" s="72"/>
      <c r="F776" s="78" t="s">
        <v>244</v>
      </c>
      <c r="G776" s="89">
        <v>1228</v>
      </c>
      <c r="H776" s="82">
        <f>G776*1.1*0.91</f>
        <v>1229.2280000000003</v>
      </c>
      <c r="I776" s="82">
        <f>H776*1.108*0.95</f>
        <v>1293.8853928000003</v>
      </c>
      <c r="J776" s="89">
        <v>273.7</v>
      </c>
      <c r="K776" s="275">
        <v>1501.7</v>
      </c>
      <c r="L776" s="315">
        <v>-161</v>
      </c>
      <c r="M776" s="82"/>
      <c r="N776" s="89">
        <f t="shared" si="154"/>
        <v>1340.7</v>
      </c>
      <c r="O776" s="378">
        <v>-2</v>
      </c>
      <c r="P776" s="275"/>
      <c r="Q776" s="448">
        <f t="shared" si="154"/>
        <v>1338.7</v>
      </c>
      <c r="R776" s="448">
        <f t="shared" si="154"/>
        <v>1336.7</v>
      </c>
      <c r="S776" s="465">
        <f t="shared" si="141"/>
        <v>99.85060132964817</v>
      </c>
    </row>
    <row r="777" spans="1:19" ht="13.5" hidden="1" thickBot="1">
      <c r="A777" s="29"/>
      <c r="B777" s="30"/>
      <c r="C777" s="31"/>
      <c r="D777" s="31"/>
      <c r="E777" s="31"/>
      <c r="F777" s="81" t="s">
        <v>245</v>
      </c>
      <c r="G777" s="89">
        <v>72</v>
      </c>
      <c r="H777" s="82">
        <f>G777*1.052*0.91</f>
        <v>68.92704</v>
      </c>
      <c r="I777" s="82">
        <f>H777*1.049*0.95</f>
        <v>68.689241712</v>
      </c>
      <c r="J777" s="89"/>
      <c r="K777" s="275">
        <v>72</v>
      </c>
      <c r="L777" s="315"/>
      <c r="M777" s="82">
        <v>194.4</v>
      </c>
      <c r="N777" s="89">
        <f t="shared" si="154"/>
        <v>266.4</v>
      </c>
      <c r="O777" s="89"/>
      <c r="P777" s="275"/>
      <c r="Q777" s="448">
        <f t="shared" si="154"/>
        <v>266.4</v>
      </c>
      <c r="R777" s="448">
        <f t="shared" si="154"/>
        <v>266.4</v>
      </c>
      <c r="S777" s="465">
        <f t="shared" si="141"/>
        <v>100</v>
      </c>
    </row>
    <row r="778" spans="1:19" ht="13.5" hidden="1" thickBot="1">
      <c r="A778" s="46"/>
      <c r="B778" s="71"/>
      <c r="C778" s="72"/>
      <c r="D778" s="72"/>
      <c r="E778" s="72"/>
      <c r="F778" s="78" t="s">
        <v>235</v>
      </c>
      <c r="G778" s="89">
        <v>34</v>
      </c>
      <c r="H778" s="82">
        <f>G778*1.052*0.91</f>
        <v>32.548880000000004</v>
      </c>
      <c r="I778" s="82">
        <f>H778*1.049*0.95</f>
        <v>32.436586364</v>
      </c>
      <c r="J778" s="89"/>
      <c r="K778" s="275">
        <v>34</v>
      </c>
      <c r="L778" s="315"/>
      <c r="M778" s="82">
        <f>50.5+41.8+210.204</f>
        <v>302.504</v>
      </c>
      <c r="N778" s="89">
        <f t="shared" si="154"/>
        <v>336.504</v>
      </c>
      <c r="O778" s="89">
        <v>-41.8</v>
      </c>
      <c r="P778" s="275"/>
      <c r="Q778" s="448">
        <f t="shared" si="154"/>
        <v>294.704</v>
      </c>
      <c r="R778" s="448">
        <f t="shared" si="154"/>
        <v>252.904</v>
      </c>
      <c r="S778" s="465">
        <f t="shared" si="141"/>
        <v>85.81627667082903</v>
      </c>
    </row>
    <row r="779" spans="1:19" ht="13.5" hidden="1" thickBot="1">
      <c r="A779" s="29"/>
      <c r="B779" s="30"/>
      <c r="C779" s="31"/>
      <c r="D779" s="31"/>
      <c r="E779" s="31"/>
      <c r="F779" s="81" t="s">
        <v>236</v>
      </c>
      <c r="G779" s="89">
        <v>12</v>
      </c>
      <c r="H779" s="82">
        <f>13*0.91</f>
        <v>11.83</v>
      </c>
      <c r="I779" s="82">
        <f>14*0.95</f>
        <v>13.299999999999999</v>
      </c>
      <c r="J779" s="89"/>
      <c r="K779" s="275">
        <v>12</v>
      </c>
      <c r="L779" s="315"/>
      <c r="M779" s="82">
        <v>91</v>
      </c>
      <c r="N779" s="89">
        <f t="shared" si="154"/>
        <v>103</v>
      </c>
      <c r="O779" s="89"/>
      <c r="P779" s="275"/>
      <c r="Q779" s="448">
        <f t="shared" si="154"/>
        <v>103</v>
      </c>
      <c r="R779" s="448">
        <f t="shared" si="154"/>
        <v>103</v>
      </c>
      <c r="S779" s="465">
        <f t="shared" si="141"/>
        <v>100</v>
      </c>
    </row>
    <row r="780" spans="1:19" ht="13.5" hidden="1" thickBot="1">
      <c r="A780" s="46"/>
      <c r="B780" s="71"/>
      <c r="C780" s="72"/>
      <c r="D780" s="72"/>
      <c r="E780" s="72"/>
      <c r="F780" s="78" t="s">
        <v>237</v>
      </c>
      <c r="G780" s="89">
        <v>14</v>
      </c>
      <c r="H780" s="82">
        <f>G780*1.052*0.91</f>
        <v>13.402480000000002</v>
      </c>
      <c r="I780" s="82">
        <f>H780*1.049*0.95</f>
        <v>13.356241444000002</v>
      </c>
      <c r="J780" s="89"/>
      <c r="K780" s="275">
        <v>14</v>
      </c>
      <c r="L780" s="315"/>
      <c r="M780" s="82"/>
      <c r="N780" s="89">
        <f t="shared" si="154"/>
        <v>14</v>
      </c>
      <c r="O780" s="89"/>
      <c r="P780" s="275"/>
      <c r="Q780" s="448">
        <f t="shared" si="154"/>
        <v>14</v>
      </c>
      <c r="R780" s="448">
        <f t="shared" si="154"/>
        <v>14</v>
      </c>
      <c r="S780" s="465">
        <f t="shared" si="141"/>
        <v>100</v>
      </c>
    </row>
    <row r="781" spans="1:19" ht="13.5" hidden="1" thickBot="1">
      <c r="A781" s="46"/>
      <c r="B781" s="71"/>
      <c r="C781" s="72"/>
      <c r="D781" s="72"/>
      <c r="E781" s="72"/>
      <c r="F781" s="78" t="s">
        <v>238</v>
      </c>
      <c r="G781" s="89">
        <v>24</v>
      </c>
      <c r="H781" s="82">
        <f>25*0.91</f>
        <v>22.75</v>
      </c>
      <c r="I781" s="82">
        <f>26*0.95</f>
        <v>24.7</v>
      </c>
      <c r="J781" s="89"/>
      <c r="K781" s="275">
        <v>24</v>
      </c>
      <c r="L781" s="315"/>
      <c r="M781" s="82"/>
      <c r="N781" s="89">
        <f t="shared" si="154"/>
        <v>24</v>
      </c>
      <c r="O781" s="89">
        <v>41.8</v>
      </c>
      <c r="P781" s="275"/>
      <c r="Q781" s="448">
        <f t="shared" si="154"/>
        <v>65.8</v>
      </c>
      <c r="R781" s="448">
        <f t="shared" si="154"/>
        <v>107.6</v>
      </c>
      <c r="S781" s="465">
        <f t="shared" si="141"/>
        <v>163.5258358662614</v>
      </c>
    </row>
    <row r="782" spans="1:19" ht="15" customHeight="1" hidden="1" thickBot="1">
      <c r="A782" s="29"/>
      <c r="B782" s="30"/>
      <c r="C782" s="31"/>
      <c r="D782" s="31"/>
      <c r="E782" s="31"/>
      <c r="F782" s="81" t="s">
        <v>239</v>
      </c>
      <c r="G782" s="97">
        <v>6</v>
      </c>
      <c r="H782" s="111">
        <f>19*0.91</f>
        <v>17.29</v>
      </c>
      <c r="I782" s="111">
        <f>20*0.95</f>
        <v>19</v>
      </c>
      <c r="J782" s="97"/>
      <c r="K782" s="275">
        <v>6</v>
      </c>
      <c r="L782" s="315">
        <v>15</v>
      </c>
      <c r="M782" s="82">
        <v>102</v>
      </c>
      <c r="N782" s="89">
        <f t="shared" si="154"/>
        <v>123</v>
      </c>
      <c r="O782" s="378">
        <v>-12</v>
      </c>
      <c r="P782" s="275"/>
      <c r="Q782" s="460">
        <f t="shared" si="154"/>
        <v>111</v>
      </c>
      <c r="R782" s="460">
        <f t="shared" si="154"/>
        <v>99</v>
      </c>
      <c r="S782" s="496">
        <f t="shared" si="141"/>
        <v>89.1891891891892</v>
      </c>
    </row>
    <row r="783" spans="1:19" ht="51">
      <c r="A783" s="138" t="s">
        <v>404</v>
      </c>
      <c r="B783" s="66" t="s">
        <v>299</v>
      </c>
      <c r="C783" s="67" t="s">
        <v>255</v>
      </c>
      <c r="D783" s="67" t="s">
        <v>203</v>
      </c>
      <c r="E783" s="67" t="s">
        <v>405</v>
      </c>
      <c r="F783" s="69"/>
      <c r="G783" s="200">
        <f aca="true" t="shared" si="155" ref="G783:R783">G784</f>
        <v>0</v>
      </c>
      <c r="H783" s="200">
        <f t="shared" si="155"/>
        <v>0</v>
      </c>
      <c r="I783" s="200">
        <f t="shared" si="155"/>
        <v>0</v>
      </c>
      <c r="J783" s="200">
        <f t="shared" si="155"/>
        <v>6838.067000000001</v>
      </c>
      <c r="K783" s="286">
        <f t="shared" si="155"/>
        <v>6838.066999999999</v>
      </c>
      <c r="L783" s="286">
        <f t="shared" si="155"/>
        <v>0</v>
      </c>
      <c r="M783" s="286">
        <f t="shared" si="155"/>
        <v>0</v>
      </c>
      <c r="N783" s="286">
        <f t="shared" si="155"/>
        <v>6838.066999999999</v>
      </c>
      <c r="O783" s="286">
        <f t="shared" si="155"/>
        <v>-1094.09072</v>
      </c>
      <c r="P783" s="286">
        <f t="shared" si="155"/>
        <v>0</v>
      </c>
      <c r="Q783" s="471">
        <f t="shared" si="155"/>
        <v>5743.97628</v>
      </c>
      <c r="R783" s="472">
        <f t="shared" si="155"/>
        <v>5743.97628</v>
      </c>
      <c r="S783" s="473">
        <f aca="true" t="shared" si="156" ref="S783:S846">R783/Q783*100</f>
        <v>100</v>
      </c>
    </row>
    <row r="784" spans="1:19" ht="15.75" customHeight="1" thickBot="1">
      <c r="A784" s="397" t="s">
        <v>120</v>
      </c>
      <c r="B784" s="117" t="s">
        <v>299</v>
      </c>
      <c r="C784" s="118" t="s">
        <v>255</v>
      </c>
      <c r="D784" s="118" t="s">
        <v>203</v>
      </c>
      <c r="E784" s="118" t="s">
        <v>405</v>
      </c>
      <c r="F784" s="119" t="s">
        <v>112</v>
      </c>
      <c r="G784" s="94">
        <f aca="true" t="shared" si="157" ref="G784:N784">G785+G786</f>
        <v>0</v>
      </c>
      <c r="H784" s="94">
        <f t="shared" si="157"/>
        <v>0</v>
      </c>
      <c r="I784" s="94">
        <f t="shared" si="157"/>
        <v>0</v>
      </c>
      <c r="J784" s="94">
        <f t="shared" si="157"/>
        <v>6838.067000000001</v>
      </c>
      <c r="K784" s="291">
        <f t="shared" si="157"/>
        <v>6838.066999999999</v>
      </c>
      <c r="L784" s="291">
        <f t="shared" si="157"/>
        <v>0</v>
      </c>
      <c r="M784" s="291">
        <f t="shared" si="157"/>
        <v>0</v>
      </c>
      <c r="N784" s="291">
        <f t="shared" si="157"/>
        <v>6838.066999999999</v>
      </c>
      <c r="O784" s="291">
        <f>O785+O786</f>
        <v>-1094.09072</v>
      </c>
      <c r="P784" s="291">
        <f>P785+P786</f>
        <v>0</v>
      </c>
      <c r="Q784" s="488">
        <f>Q785+Q786</f>
        <v>5743.97628</v>
      </c>
      <c r="R784" s="489">
        <v>5743.97628</v>
      </c>
      <c r="S784" s="477">
        <f t="shared" si="156"/>
        <v>100</v>
      </c>
    </row>
    <row r="785" spans="1:19" ht="13.5" hidden="1" thickBot="1">
      <c r="A785" s="103"/>
      <c r="B785" s="99"/>
      <c r="C785" s="100"/>
      <c r="D785" s="100"/>
      <c r="E785" s="100"/>
      <c r="F785" s="101" t="s">
        <v>215</v>
      </c>
      <c r="G785" s="102"/>
      <c r="H785" s="137"/>
      <c r="I785" s="137"/>
      <c r="J785" s="102">
        <v>5251.97158</v>
      </c>
      <c r="K785" s="280">
        <v>5251.97168</v>
      </c>
      <c r="L785" s="331"/>
      <c r="M785" s="137"/>
      <c r="N785" s="102">
        <f>K785+L785+M785</f>
        <v>5251.97168</v>
      </c>
      <c r="O785" s="102">
        <v>-840.31549</v>
      </c>
      <c r="P785" s="280"/>
      <c r="Q785" s="485">
        <f>N785+O785+P785</f>
        <v>4411.65619</v>
      </c>
      <c r="R785" s="485">
        <f>O785+P785+Q785</f>
        <v>3571.3406999999997</v>
      </c>
      <c r="S785" s="481">
        <f t="shared" si="156"/>
        <v>80.9523803803034</v>
      </c>
    </row>
    <row r="786" spans="1:19" ht="13.5" hidden="1" thickBot="1">
      <c r="A786" s="147"/>
      <c r="B786" s="30"/>
      <c r="C786" s="79"/>
      <c r="D786" s="79"/>
      <c r="E786" s="79"/>
      <c r="F786" s="81" t="s">
        <v>217</v>
      </c>
      <c r="G786" s="97"/>
      <c r="H786" s="111"/>
      <c r="I786" s="111"/>
      <c r="J786" s="97">
        <v>1586.09542</v>
      </c>
      <c r="K786" s="269">
        <v>1586.09532</v>
      </c>
      <c r="L786" s="326"/>
      <c r="M786" s="111"/>
      <c r="N786" s="97">
        <f>K786+L786+M786</f>
        <v>1586.09532</v>
      </c>
      <c r="O786" s="97">
        <v>-253.77523</v>
      </c>
      <c r="P786" s="269"/>
      <c r="Q786" s="460">
        <f>N786+O786+P786</f>
        <v>1332.32009</v>
      </c>
      <c r="R786" s="460">
        <f>O786+P786+Q786</f>
        <v>1078.54486</v>
      </c>
      <c r="S786" s="496">
        <f t="shared" si="156"/>
        <v>80.95238284667764</v>
      </c>
    </row>
    <row r="787" spans="1:19" ht="16.5" customHeight="1">
      <c r="A787" s="65" t="s">
        <v>419</v>
      </c>
      <c r="B787" s="66" t="s">
        <v>299</v>
      </c>
      <c r="C787" s="67" t="s">
        <v>255</v>
      </c>
      <c r="D787" s="67" t="s">
        <v>203</v>
      </c>
      <c r="E787" s="67" t="s">
        <v>420</v>
      </c>
      <c r="F787" s="251"/>
      <c r="G787" s="278">
        <f aca="true" t="shared" si="158" ref="G787:R788">G788</f>
        <v>0</v>
      </c>
      <c r="H787" s="278">
        <f t="shared" si="158"/>
        <v>0</v>
      </c>
      <c r="I787" s="278">
        <f t="shared" si="158"/>
        <v>0</v>
      </c>
      <c r="J787" s="278">
        <f t="shared" si="158"/>
        <v>6066.8</v>
      </c>
      <c r="K787" s="303">
        <f t="shared" si="158"/>
        <v>6066.8</v>
      </c>
      <c r="L787" s="303">
        <f t="shared" si="158"/>
        <v>0</v>
      </c>
      <c r="M787" s="303">
        <f t="shared" si="158"/>
        <v>0</v>
      </c>
      <c r="N787" s="303">
        <f t="shared" si="158"/>
        <v>6066.8</v>
      </c>
      <c r="O787" s="303">
        <f t="shared" si="158"/>
        <v>0</v>
      </c>
      <c r="P787" s="303">
        <f t="shared" si="158"/>
        <v>0</v>
      </c>
      <c r="Q787" s="471">
        <f t="shared" si="158"/>
        <v>6066.8</v>
      </c>
      <c r="R787" s="472">
        <f t="shared" si="158"/>
        <v>5091.71131</v>
      </c>
      <c r="S787" s="473">
        <f t="shared" si="156"/>
        <v>83.92746274807146</v>
      </c>
    </row>
    <row r="788" spans="1:19" ht="16.5" customHeight="1" thickBot="1">
      <c r="A788" s="109" t="s">
        <v>421</v>
      </c>
      <c r="B788" s="99" t="s">
        <v>299</v>
      </c>
      <c r="C788" s="112" t="s">
        <v>255</v>
      </c>
      <c r="D788" s="112" t="s">
        <v>203</v>
      </c>
      <c r="E788" s="112" t="s">
        <v>422</v>
      </c>
      <c r="F788" s="252"/>
      <c r="G788" s="400">
        <f t="shared" si="158"/>
        <v>0</v>
      </c>
      <c r="H788" s="400">
        <f t="shared" si="158"/>
        <v>0</v>
      </c>
      <c r="I788" s="400">
        <f t="shared" si="158"/>
        <v>0</v>
      </c>
      <c r="J788" s="400">
        <f t="shared" si="158"/>
        <v>6066.8</v>
      </c>
      <c r="K788" s="398">
        <f t="shared" si="158"/>
        <v>6066.8</v>
      </c>
      <c r="L788" s="398">
        <f t="shared" si="158"/>
        <v>0</v>
      </c>
      <c r="M788" s="398">
        <f t="shared" si="158"/>
        <v>0</v>
      </c>
      <c r="N788" s="398">
        <f t="shared" si="158"/>
        <v>6066.8</v>
      </c>
      <c r="O788" s="398">
        <f t="shared" si="158"/>
        <v>0</v>
      </c>
      <c r="P788" s="398">
        <f t="shared" si="158"/>
        <v>0</v>
      </c>
      <c r="Q788" s="474">
        <f>Q789+Q792+Q793</f>
        <v>6066.8</v>
      </c>
      <c r="R788" s="449">
        <f>R789+R792+R793</f>
        <v>5091.71131</v>
      </c>
      <c r="S788" s="465">
        <f t="shared" si="156"/>
        <v>83.92746274807146</v>
      </c>
    </row>
    <row r="789" spans="1:19" ht="15.75" customHeight="1" hidden="1" thickBot="1">
      <c r="A789" s="397" t="s">
        <v>120</v>
      </c>
      <c r="B789" s="210" t="s">
        <v>299</v>
      </c>
      <c r="C789" s="118" t="s">
        <v>255</v>
      </c>
      <c r="D789" s="118" t="s">
        <v>203</v>
      </c>
      <c r="E789" s="118" t="s">
        <v>422</v>
      </c>
      <c r="F789" s="403" t="s">
        <v>112</v>
      </c>
      <c r="G789" s="277">
        <f aca="true" t="shared" si="159" ref="G789:N789">G790+G791</f>
        <v>0</v>
      </c>
      <c r="H789" s="277">
        <f t="shared" si="159"/>
        <v>0</v>
      </c>
      <c r="I789" s="277">
        <f t="shared" si="159"/>
        <v>0</v>
      </c>
      <c r="J789" s="277">
        <f t="shared" si="159"/>
        <v>6066.8</v>
      </c>
      <c r="K789" s="279">
        <f t="shared" si="159"/>
        <v>6066.8</v>
      </c>
      <c r="L789" s="279">
        <f t="shared" si="159"/>
        <v>0</v>
      </c>
      <c r="M789" s="279">
        <f t="shared" si="159"/>
        <v>0</v>
      </c>
      <c r="N789" s="279">
        <f t="shared" si="159"/>
        <v>6066.8</v>
      </c>
      <c r="O789" s="279">
        <f>O790+O791</f>
        <v>0</v>
      </c>
      <c r="P789" s="279">
        <f>P790+P791</f>
        <v>0</v>
      </c>
      <c r="Q789" s="488">
        <v>0</v>
      </c>
      <c r="R789" s="489">
        <v>0</v>
      </c>
      <c r="S789" s="477" t="e">
        <f t="shared" si="156"/>
        <v>#DIV/0!</v>
      </c>
    </row>
    <row r="790" spans="1:19" ht="12.75" hidden="1">
      <c r="A790" s="103"/>
      <c r="B790" s="99"/>
      <c r="C790" s="100"/>
      <c r="D790" s="100"/>
      <c r="E790" s="100"/>
      <c r="F790" s="270" t="s">
        <v>215</v>
      </c>
      <c r="G790" s="401"/>
      <c r="H790" s="401"/>
      <c r="I790" s="401"/>
      <c r="J790" s="401">
        <v>4659.60061</v>
      </c>
      <c r="K790" s="402">
        <f>G790+J790</f>
        <v>4659.60061</v>
      </c>
      <c r="L790" s="331"/>
      <c r="M790" s="137"/>
      <c r="N790" s="102">
        <f>K790+L790+M790</f>
        <v>4659.60061</v>
      </c>
      <c r="O790" s="102"/>
      <c r="P790" s="280"/>
      <c r="Q790" s="485">
        <f>N790+O790+P790</f>
        <v>4659.60061</v>
      </c>
      <c r="R790" s="485">
        <f>O790+P790+Q790</f>
        <v>4659.60061</v>
      </c>
      <c r="S790" s="486">
        <f t="shared" si="156"/>
        <v>100</v>
      </c>
    </row>
    <row r="791" spans="1:19" ht="13.5" hidden="1" thickBot="1">
      <c r="A791" s="56"/>
      <c r="B791" s="53"/>
      <c r="C791" s="84"/>
      <c r="D791" s="84"/>
      <c r="E791" s="84"/>
      <c r="F791" s="157" t="s">
        <v>217</v>
      </c>
      <c r="G791" s="158"/>
      <c r="H791" s="158"/>
      <c r="I791" s="158"/>
      <c r="J791" s="158">
        <f>1407.19743+0.00196</f>
        <v>1407.19939</v>
      </c>
      <c r="K791" s="294">
        <f>G791+J791</f>
        <v>1407.19939</v>
      </c>
      <c r="L791" s="315"/>
      <c r="M791" s="82"/>
      <c r="N791" s="89">
        <f>K791+L791+M791</f>
        <v>1407.19939</v>
      </c>
      <c r="O791" s="89"/>
      <c r="P791" s="275"/>
      <c r="Q791" s="460">
        <f>N791+O791+P791</f>
        <v>1407.19939</v>
      </c>
      <c r="R791" s="460">
        <f>O791+P791+Q791</f>
        <v>1407.19939</v>
      </c>
      <c r="S791" s="491">
        <f t="shared" si="156"/>
        <v>100</v>
      </c>
    </row>
    <row r="792" spans="1:19" ht="16.5" customHeight="1" thickBot="1">
      <c r="A792" s="397" t="s">
        <v>120</v>
      </c>
      <c r="B792" s="210" t="s">
        <v>299</v>
      </c>
      <c r="C792" s="118" t="s">
        <v>255</v>
      </c>
      <c r="D792" s="118" t="s">
        <v>203</v>
      </c>
      <c r="E792" s="118" t="s">
        <v>554</v>
      </c>
      <c r="F792" s="403" t="s">
        <v>112</v>
      </c>
      <c r="G792" s="158"/>
      <c r="H792" s="158"/>
      <c r="I792" s="158"/>
      <c r="J792" s="158"/>
      <c r="K792" s="294"/>
      <c r="L792" s="275"/>
      <c r="M792" s="275"/>
      <c r="N792" s="275"/>
      <c r="O792" s="275"/>
      <c r="P792" s="275"/>
      <c r="Q792" s="516">
        <v>5500</v>
      </c>
      <c r="R792" s="517">
        <v>4918.36</v>
      </c>
      <c r="S792" s="518">
        <f t="shared" si="156"/>
        <v>89.42472727272727</v>
      </c>
    </row>
    <row r="793" spans="1:19" ht="15" customHeight="1" thickBot="1">
      <c r="A793" s="397" t="s">
        <v>120</v>
      </c>
      <c r="B793" s="210" t="s">
        <v>299</v>
      </c>
      <c r="C793" s="118" t="s">
        <v>255</v>
      </c>
      <c r="D793" s="118" t="s">
        <v>203</v>
      </c>
      <c r="E793" s="118" t="s">
        <v>555</v>
      </c>
      <c r="F793" s="403" t="s">
        <v>112</v>
      </c>
      <c r="G793" s="158"/>
      <c r="H793" s="158"/>
      <c r="I793" s="158"/>
      <c r="J793" s="158"/>
      <c r="K793" s="294"/>
      <c r="L793" s="275"/>
      <c r="M793" s="275"/>
      <c r="N793" s="275"/>
      <c r="O793" s="275"/>
      <c r="P793" s="275"/>
      <c r="Q793" s="516">
        <v>566.8</v>
      </c>
      <c r="R793" s="517">
        <v>173.35131</v>
      </c>
      <c r="S793" s="518">
        <f t="shared" si="156"/>
        <v>30.584211362032466</v>
      </c>
    </row>
    <row r="794" spans="1:19" ht="16.5" customHeight="1">
      <c r="A794" s="138" t="s">
        <v>507</v>
      </c>
      <c r="B794" s="99" t="s">
        <v>299</v>
      </c>
      <c r="C794" s="112" t="s">
        <v>255</v>
      </c>
      <c r="D794" s="112" t="s">
        <v>203</v>
      </c>
      <c r="E794" s="112" t="s">
        <v>508</v>
      </c>
      <c r="F794" s="252"/>
      <c r="G794" s="264">
        <f aca="true" t="shared" si="160" ref="G794:R794">G795</f>
        <v>0</v>
      </c>
      <c r="H794" s="264">
        <f t="shared" si="160"/>
        <v>0</v>
      </c>
      <c r="I794" s="264">
        <f t="shared" si="160"/>
        <v>0</v>
      </c>
      <c r="J794" s="264">
        <f t="shared" si="160"/>
        <v>7410</v>
      </c>
      <c r="K794" s="301">
        <f t="shared" si="160"/>
        <v>7410</v>
      </c>
      <c r="L794" s="301">
        <f t="shared" si="160"/>
        <v>350.559</v>
      </c>
      <c r="M794" s="301">
        <f t="shared" si="160"/>
        <v>0</v>
      </c>
      <c r="N794" s="301">
        <f t="shared" si="160"/>
        <v>7760.559</v>
      </c>
      <c r="O794" s="301">
        <f t="shared" si="160"/>
        <v>103.35139</v>
      </c>
      <c r="P794" s="301">
        <f t="shared" si="160"/>
        <v>0</v>
      </c>
      <c r="Q794" s="471">
        <f t="shared" si="160"/>
        <v>7863.91039</v>
      </c>
      <c r="R794" s="472">
        <f t="shared" si="160"/>
        <v>7863.91047</v>
      </c>
      <c r="S794" s="473">
        <f t="shared" si="156"/>
        <v>100.00000101730559</v>
      </c>
    </row>
    <row r="795" spans="1:19" ht="15.75" customHeight="1" thickBot="1">
      <c r="A795" s="397" t="s">
        <v>120</v>
      </c>
      <c r="B795" s="210" t="s">
        <v>299</v>
      </c>
      <c r="C795" s="118" t="s">
        <v>255</v>
      </c>
      <c r="D795" s="118" t="s">
        <v>203</v>
      </c>
      <c r="E795" s="118" t="s">
        <v>508</v>
      </c>
      <c r="F795" s="403" t="s">
        <v>112</v>
      </c>
      <c r="G795" s="277"/>
      <c r="H795" s="277"/>
      <c r="I795" s="277"/>
      <c r="J795" s="277">
        <v>7410</v>
      </c>
      <c r="K795" s="279">
        <f>G795+J795</f>
        <v>7410</v>
      </c>
      <c r="L795" s="329">
        <v>350.559</v>
      </c>
      <c r="M795" s="87"/>
      <c r="N795" s="94">
        <f>K795+L795+M795</f>
        <v>7760.559</v>
      </c>
      <c r="O795" s="94">
        <f>103.34939+0.002</f>
        <v>103.35139</v>
      </c>
      <c r="P795" s="291"/>
      <c r="Q795" s="488">
        <f>N795+O795+P795</f>
        <v>7863.91039</v>
      </c>
      <c r="R795" s="489">
        <v>7863.91047</v>
      </c>
      <c r="S795" s="477">
        <f t="shared" si="156"/>
        <v>100.00000101730559</v>
      </c>
    </row>
    <row r="796" spans="1:19" ht="20.25" customHeight="1">
      <c r="A796" s="47" t="s">
        <v>291</v>
      </c>
      <c r="B796" s="99" t="s">
        <v>340</v>
      </c>
      <c r="C796" s="112" t="s">
        <v>255</v>
      </c>
      <c r="D796" s="112" t="s">
        <v>203</v>
      </c>
      <c r="E796" s="112" t="s">
        <v>292</v>
      </c>
      <c r="F796" s="252"/>
      <c r="G796" s="400">
        <f>G799+G803</f>
        <v>100</v>
      </c>
      <c r="H796" s="400">
        <f>H799+H803</f>
        <v>100</v>
      </c>
      <c r="I796" s="400">
        <f>I799+I803</f>
        <v>0</v>
      </c>
      <c r="J796" s="400">
        <f>J799+J803</f>
        <v>522.1</v>
      </c>
      <c r="K796" s="398">
        <f>K799+K803+K805</f>
        <v>622.1</v>
      </c>
      <c r="L796" s="398">
        <f>L799+L803+L805</f>
        <v>176.60497</v>
      </c>
      <c r="M796" s="398">
        <f>M799+M803+M805</f>
        <v>158.4</v>
      </c>
      <c r="N796" s="398">
        <f>N799+N803+N805+N797</f>
        <v>957.1049700000001</v>
      </c>
      <c r="O796" s="398">
        <f>O799+O803+O805+O797</f>
        <v>2.36</v>
      </c>
      <c r="P796" s="398">
        <f>P799+P803+P805+P797</f>
        <v>0</v>
      </c>
      <c r="Q796" s="480">
        <f>Q799+Q803+Q805+Q797</f>
        <v>959.4649700000001</v>
      </c>
      <c r="R796" s="480">
        <f>R799+R803+R805+R797</f>
        <v>801.06451</v>
      </c>
      <c r="S796" s="481">
        <f t="shared" si="156"/>
        <v>83.49075110058473</v>
      </c>
    </row>
    <row r="797" spans="1:19" ht="28.5" customHeight="1">
      <c r="A797" s="50" t="s">
        <v>539</v>
      </c>
      <c r="B797" s="30" t="s">
        <v>340</v>
      </c>
      <c r="C797" s="31" t="s">
        <v>255</v>
      </c>
      <c r="D797" s="31" t="s">
        <v>203</v>
      </c>
      <c r="E797" s="31" t="s">
        <v>418</v>
      </c>
      <c r="F797" s="267"/>
      <c r="G797" s="405"/>
      <c r="H797" s="405"/>
      <c r="I797" s="405"/>
      <c r="J797" s="405"/>
      <c r="K797" s="406"/>
      <c r="L797" s="406"/>
      <c r="M797" s="406"/>
      <c r="N797" s="406">
        <f>N798</f>
        <v>0</v>
      </c>
      <c r="O797" s="406">
        <f>O798</f>
        <v>2.36</v>
      </c>
      <c r="P797" s="406">
        <f>P798</f>
        <v>0</v>
      </c>
      <c r="Q797" s="449">
        <f>Q798</f>
        <v>2.36</v>
      </c>
      <c r="R797" s="449">
        <f>R798</f>
        <v>2.36</v>
      </c>
      <c r="S797" s="465">
        <f t="shared" si="156"/>
        <v>100</v>
      </c>
    </row>
    <row r="798" spans="1:19" ht="15.75" customHeight="1">
      <c r="A798" s="106" t="s">
        <v>120</v>
      </c>
      <c r="B798" s="141" t="s">
        <v>340</v>
      </c>
      <c r="C798" s="76" t="s">
        <v>255</v>
      </c>
      <c r="D798" s="76" t="s">
        <v>203</v>
      </c>
      <c r="E798" s="76" t="s">
        <v>418</v>
      </c>
      <c r="F798" s="156" t="s">
        <v>112</v>
      </c>
      <c r="G798" s="158"/>
      <c r="H798" s="158"/>
      <c r="I798" s="158"/>
      <c r="J798" s="158"/>
      <c r="K798" s="294"/>
      <c r="L798" s="294"/>
      <c r="M798" s="294"/>
      <c r="N798" s="294"/>
      <c r="O798" s="379">
        <v>2.36</v>
      </c>
      <c r="P798" s="294"/>
      <c r="Q798" s="448">
        <f>N798+O798+P798</f>
        <v>2.36</v>
      </c>
      <c r="R798" s="448">
        <v>2.36</v>
      </c>
      <c r="S798" s="444">
        <f t="shared" si="156"/>
        <v>100</v>
      </c>
    </row>
    <row r="799" spans="1:19" ht="44.25" customHeight="1">
      <c r="A799" s="29" t="s">
        <v>162</v>
      </c>
      <c r="B799" s="30" t="s">
        <v>340</v>
      </c>
      <c r="C799" s="31" t="s">
        <v>255</v>
      </c>
      <c r="D799" s="31" t="s">
        <v>203</v>
      </c>
      <c r="E799" s="31" t="s">
        <v>424</v>
      </c>
      <c r="F799" s="267"/>
      <c r="G799" s="400">
        <f aca="true" t="shared" si="161" ref="G799:R799">G800</f>
        <v>100</v>
      </c>
      <c r="H799" s="400">
        <f t="shared" si="161"/>
        <v>100</v>
      </c>
      <c r="I799" s="400">
        <f t="shared" si="161"/>
        <v>0</v>
      </c>
      <c r="J799" s="400">
        <f t="shared" si="161"/>
        <v>-77.9</v>
      </c>
      <c r="K799" s="398">
        <f t="shared" si="161"/>
        <v>22.1</v>
      </c>
      <c r="L799" s="398">
        <f t="shared" si="161"/>
        <v>0</v>
      </c>
      <c r="M799" s="398">
        <f t="shared" si="161"/>
        <v>0</v>
      </c>
      <c r="N799" s="398">
        <f t="shared" si="161"/>
        <v>22.1</v>
      </c>
      <c r="O799" s="398">
        <f t="shared" si="161"/>
        <v>0</v>
      </c>
      <c r="P799" s="398">
        <f t="shared" si="161"/>
        <v>0</v>
      </c>
      <c r="Q799" s="449">
        <f t="shared" si="161"/>
        <v>22.1</v>
      </c>
      <c r="R799" s="449">
        <f t="shared" si="161"/>
        <v>22.1</v>
      </c>
      <c r="S799" s="465">
        <f t="shared" si="156"/>
        <v>100</v>
      </c>
    </row>
    <row r="800" spans="1:19" ht="15.75" customHeight="1">
      <c r="A800" s="213" t="s">
        <v>120</v>
      </c>
      <c r="B800" s="214" t="s">
        <v>340</v>
      </c>
      <c r="C800" s="91" t="s">
        <v>255</v>
      </c>
      <c r="D800" s="91" t="s">
        <v>203</v>
      </c>
      <c r="E800" s="91" t="s">
        <v>424</v>
      </c>
      <c r="F800" s="266" t="s">
        <v>112</v>
      </c>
      <c r="G800" s="158">
        <f>G801+G802</f>
        <v>100</v>
      </c>
      <c r="H800" s="158">
        <f>H801+H802</f>
        <v>100</v>
      </c>
      <c r="I800" s="158">
        <f>I801+I802</f>
        <v>0</v>
      </c>
      <c r="J800" s="158">
        <v>-77.9</v>
      </c>
      <c r="K800" s="294">
        <v>22.1</v>
      </c>
      <c r="L800" s="315"/>
      <c r="M800" s="82"/>
      <c r="N800" s="89">
        <f>K800+L800+M800</f>
        <v>22.1</v>
      </c>
      <c r="O800" s="89"/>
      <c r="P800" s="275"/>
      <c r="Q800" s="448">
        <f>N800+O800+P800</f>
        <v>22.1</v>
      </c>
      <c r="R800" s="448">
        <v>22.1</v>
      </c>
      <c r="S800" s="444">
        <f t="shared" si="156"/>
        <v>100</v>
      </c>
    </row>
    <row r="801" spans="1:19" ht="12.75" hidden="1">
      <c r="A801" s="46"/>
      <c r="B801" s="71"/>
      <c r="C801" s="76"/>
      <c r="D801" s="76"/>
      <c r="E801" s="76"/>
      <c r="F801" s="78" t="s">
        <v>236</v>
      </c>
      <c r="G801" s="89">
        <v>100</v>
      </c>
      <c r="H801" s="82">
        <v>100</v>
      </c>
      <c r="I801" s="82"/>
      <c r="J801" s="89">
        <v>100</v>
      </c>
      <c r="K801" s="275">
        <v>100</v>
      </c>
      <c r="L801" s="315"/>
      <c r="M801" s="82"/>
      <c r="N801" s="89"/>
      <c r="O801" s="89"/>
      <c r="P801" s="275"/>
      <c r="Q801" s="448"/>
      <c r="R801" s="448"/>
      <c r="S801" s="465" t="e">
        <f t="shared" si="156"/>
        <v>#DIV/0!</v>
      </c>
    </row>
    <row r="802" spans="1:19" ht="12.75" hidden="1">
      <c r="A802" s="29"/>
      <c r="B802" s="30"/>
      <c r="C802" s="79"/>
      <c r="D802" s="79"/>
      <c r="E802" s="79"/>
      <c r="F802" s="81" t="s">
        <v>239</v>
      </c>
      <c r="G802" s="205"/>
      <c r="H802" s="134"/>
      <c r="I802" s="134"/>
      <c r="J802" s="205"/>
      <c r="K802" s="174"/>
      <c r="L802" s="315"/>
      <c r="M802" s="82"/>
      <c r="N802" s="89"/>
      <c r="O802" s="89"/>
      <c r="P802" s="275"/>
      <c r="Q802" s="448"/>
      <c r="R802" s="448"/>
      <c r="S802" s="465" t="e">
        <f t="shared" si="156"/>
        <v>#DIV/0!</v>
      </c>
    </row>
    <row r="803" spans="1:19" ht="25.5" customHeight="1">
      <c r="A803" s="46" t="s">
        <v>176</v>
      </c>
      <c r="B803" s="90" t="s">
        <v>340</v>
      </c>
      <c r="C803" s="129" t="s">
        <v>255</v>
      </c>
      <c r="D803" s="129" t="s">
        <v>203</v>
      </c>
      <c r="E803" s="129" t="s">
        <v>13</v>
      </c>
      <c r="F803" s="131"/>
      <c r="G803" s="257">
        <f aca="true" t="shared" si="162" ref="G803:R803">G804</f>
        <v>0</v>
      </c>
      <c r="H803" s="257">
        <f t="shared" si="162"/>
        <v>0</v>
      </c>
      <c r="I803" s="257">
        <f t="shared" si="162"/>
        <v>0</v>
      </c>
      <c r="J803" s="257">
        <f t="shared" si="162"/>
        <v>600</v>
      </c>
      <c r="K803" s="281">
        <f t="shared" si="162"/>
        <v>600</v>
      </c>
      <c r="L803" s="281">
        <f t="shared" si="162"/>
        <v>0</v>
      </c>
      <c r="M803" s="281">
        <f t="shared" si="162"/>
        <v>0</v>
      </c>
      <c r="N803" s="281">
        <f t="shared" si="162"/>
        <v>600</v>
      </c>
      <c r="O803" s="281">
        <f t="shared" si="162"/>
        <v>0</v>
      </c>
      <c r="P803" s="281">
        <f t="shared" si="162"/>
        <v>0</v>
      </c>
      <c r="Q803" s="449">
        <f t="shared" si="162"/>
        <v>600</v>
      </c>
      <c r="R803" s="449">
        <f t="shared" si="162"/>
        <v>599.99954</v>
      </c>
      <c r="S803" s="465">
        <f t="shared" si="156"/>
        <v>99.99992333333334</v>
      </c>
    </row>
    <row r="804" spans="1:19" ht="15.75" customHeight="1">
      <c r="A804" s="192" t="s">
        <v>120</v>
      </c>
      <c r="B804" s="214" t="s">
        <v>340</v>
      </c>
      <c r="C804" s="91" t="s">
        <v>255</v>
      </c>
      <c r="D804" s="91" t="s">
        <v>203</v>
      </c>
      <c r="E804" s="91" t="s">
        <v>13</v>
      </c>
      <c r="F804" s="93" t="s">
        <v>112</v>
      </c>
      <c r="G804" s="205"/>
      <c r="H804" s="205"/>
      <c r="I804" s="205"/>
      <c r="J804" s="205">
        <v>600</v>
      </c>
      <c r="K804" s="174">
        <v>600</v>
      </c>
      <c r="L804" s="326"/>
      <c r="M804" s="111"/>
      <c r="N804" s="97">
        <f>K804+L804+M804</f>
        <v>600</v>
      </c>
      <c r="O804" s="97"/>
      <c r="P804" s="269"/>
      <c r="Q804" s="448">
        <f>N804+O804+P804</f>
        <v>600</v>
      </c>
      <c r="R804" s="448">
        <v>599.99954</v>
      </c>
      <c r="S804" s="444">
        <f t="shared" si="156"/>
        <v>99.99992333333334</v>
      </c>
    </row>
    <row r="805" spans="1:19" ht="16.5" customHeight="1">
      <c r="A805" s="46" t="s">
        <v>527</v>
      </c>
      <c r="B805" s="71" t="s">
        <v>299</v>
      </c>
      <c r="C805" s="72" t="s">
        <v>255</v>
      </c>
      <c r="D805" s="72" t="s">
        <v>203</v>
      </c>
      <c r="E805" s="72" t="s">
        <v>528</v>
      </c>
      <c r="F805" s="74"/>
      <c r="G805" s="96"/>
      <c r="H805" s="96"/>
      <c r="I805" s="96"/>
      <c r="J805" s="96"/>
      <c r="K805" s="287">
        <f aca="true" t="shared" si="163" ref="K805:R805">K806</f>
        <v>0</v>
      </c>
      <c r="L805" s="287">
        <f t="shared" si="163"/>
        <v>176.60497</v>
      </c>
      <c r="M805" s="287">
        <f t="shared" si="163"/>
        <v>158.4</v>
      </c>
      <c r="N805" s="287">
        <f t="shared" si="163"/>
        <v>335.00497</v>
      </c>
      <c r="O805" s="287">
        <f t="shared" si="163"/>
        <v>0</v>
      </c>
      <c r="P805" s="287">
        <f t="shared" si="163"/>
        <v>0</v>
      </c>
      <c r="Q805" s="449">
        <f t="shared" si="163"/>
        <v>335.00497</v>
      </c>
      <c r="R805" s="449">
        <f t="shared" si="163"/>
        <v>176.60497</v>
      </c>
      <c r="S805" s="465">
        <f t="shared" si="156"/>
        <v>52.71711939079591</v>
      </c>
    </row>
    <row r="806" spans="1:19" ht="16.5" customHeight="1" thickBot="1">
      <c r="A806" s="192" t="s">
        <v>120</v>
      </c>
      <c r="B806" s="220" t="s">
        <v>299</v>
      </c>
      <c r="C806" s="79" t="s">
        <v>255</v>
      </c>
      <c r="D806" s="79" t="s">
        <v>203</v>
      </c>
      <c r="E806" s="79" t="s">
        <v>528</v>
      </c>
      <c r="F806" s="81" t="s">
        <v>112</v>
      </c>
      <c r="G806" s="205"/>
      <c r="H806" s="205"/>
      <c r="I806" s="205"/>
      <c r="J806" s="205"/>
      <c r="K806" s="174"/>
      <c r="L806" s="174">
        <v>176.60497</v>
      </c>
      <c r="M806" s="174">
        <v>158.4</v>
      </c>
      <c r="N806" s="174">
        <f>K806+L806+M806</f>
        <v>335.00497</v>
      </c>
      <c r="O806" s="174"/>
      <c r="P806" s="174"/>
      <c r="Q806" s="460">
        <f>N806+O806+P806</f>
        <v>335.00497</v>
      </c>
      <c r="R806" s="460">
        <v>176.60497</v>
      </c>
      <c r="S806" s="491">
        <f t="shared" si="156"/>
        <v>52.71711939079591</v>
      </c>
    </row>
    <row r="807" spans="1:19" ht="21" customHeight="1" thickBot="1">
      <c r="A807" s="17" t="s">
        <v>425</v>
      </c>
      <c r="B807" s="18" t="s">
        <v>201</v>
      </c>
      <c r="C807" s="19" t="s">
        <v>255</v>
      </c>
      <c r="D807" s="19" t="s">
        <v>255</v>
      </c>
      <c r="E807" s="19"/>
      <c r="F807" s="21"/>
      <c r="G807" s="199">
        <f aca="true" t="shared" si="164" ref="G807:N807">G826+G861+G854+G839</f>
        <v>2712.1400000000003</v>
      </c>
      <c r="H807" s="199">
        <f t="shared" si="164"/>
        <v>2991.1176</v>
      </c>
      <c r="I807" s="199">
        <f t="shared" si="164"/>
        <v>3263.6055124000004</v>
      </c>
      <c r="J807" s="199">
        <f t="shared" si="164"/>
        <v>1558.4</v>
      </c>
      <c r="K807" s="285">
        <f t="shared" si="164"/>
        <v>4270.54</v>
      </c>
      <c r="L807" s="285">
        <f t="shared" si="164"/>
        <v>-483.1</v>
      </c>
      <c r="M807" s="285">
        <f t="shared" si="164"/>
        <v>207.5</v>
      </c>
      <c r="N807" s="285">
        <f t="shared" si="164"/>
        <v>3994.9400000000005</v>
      </c>
      <c r="O807" s="285">
        <f>O826+O861+O854+O839</f>
        <v>0</v>
      </c>
      <c r="P807" s="285">
        <f>P826+P861+P854+P839</f>
        <v>176</v>
      </c>
      <c r="Q807" s="492">
        <f>Q826+Q861+Q854+Q839</f>
        <v>4170.9400000000005</v>
      </c>
      <c r="R807" s="493">
        <f>R826+R861+R854+R839</f>
        <v>3925.671410000001</v>
      </c>
      <c r="S807" s="484">
        <f t="shared" si="156"/>
        <v>94.11958479383546</v>
      </c>
    </row>
    <row r="808" spans="1:19" ht="12.75" customHeight="1" hidden="1">
      <c r="A808" s="109"/>
      <c r="B808" s="99" t="s">
        <v>254</v>
      </c>
      <c r="C808" s="112" t="s">
        <v>255</v>
      </c>
      <c r="D808" s="112" t="s">
        <v>255</v>
      </c>
      <c r="E808" s="112" t="s">
        <v>251</v>
      </c>
      <c r="F808" s="104" t="s">
        <v>201</v>
      </c>
      <c r="G808" s="88">
        <f>G809</f>
        <v>0</v>
      </c>
      <c r="H808" s="55">
        <f>H809</f>
        <v>0</v>
      </c>
      <c r="I808" s="55">
        <f>I809</f>
        <v>0</v>
      </c>
      <c r="J808" s="88">
        <f>J809</f>
        <v>0</v>
      </c>
      <c r="K808" s="290">
        <f>K809</f>
        <v>0</v>
      </c>
      <c r="L808" s="313"/>
      <c r="M808" s="75"/>
      <c r="N808" s="96"/>
      <c r="O808" s="96"/>
      <c r="P808" s="287"/>
      <c r="Q808" s="480"/>
      <c r="R808" s="480"/>
      <c r="S808" s="481" t="e">
        <f t="shared" si="156"/>
        <v>#DIV/0!</v>
      </c>
    </row>
    <row r="809" spans="1:19" ht="12.75" customHeight="1" hidden="1">
      <c r="A809" s="46"/>
      <c r="B809" s="71" t="s">
        <v>254</v>
      </c>
      <c r="C809" s="72" t="s">
        <v>255</v>
      </c>
      <c r="D809" s="72" t="s">
        <v>255</v>
      </c>
      <c r="E809" s="72" t="s">
        <v>251</v>
      </c>
      <c r="F809" s="74" t="s">
        <v>426</v>
      </c>
      <c r="G809" s="96">
        <f>G810+G814+G821+G822</f>
        <v>0</v>
      </c>
      <c r="H809" s="75">
        <f>H810+H814+H821+H822</f>
        <v>0</v>
      </c>
      <c r="I809" s="75">
        <f>I810+I814+I821+I822</f>
        <v>0</v>
      </c>
      <c r="J809" s="96">
        <f>J810+J814+J821+J822</f>
        <v>0</v>
      </c>
      <c r="K809" s="287">
        <f>K810+K814+K821+K822</f>
        <v>0</v>
      </c>
      <c r="L809" s="313"/>
      <c r="M809" s="75"/>
      <c r="N809" s="96"/>
      <c r="O809" s="96"/>
      <c r="P809" s="287"/>
      <c r="Q809" s="449"/>
      <c r="R809" s="449"/>
      <c r="S809" s="465" t="e">
        <f t="shared" si="156"/>
        <v>#DIV/0!</v>
      </c>
    </row>
    <row r="810" spans="1:19" ht="12.75" customHeight="1" hidden="1">
      <c r="A810" s="46"/>
      <c r="B810" s="71" t="s">
        <v>254</v>
      </c>
      <c r="C810" s="72" t="s">
        <v>255</v>
      </c>
      <c r="D810" s="72" t="s">
        <v>255</v>
      </c>
      <c r="E810" s="72" t="s">
        <v>251</v>
      </c>
      <c r="F810" s="74" t="s">
        <v>426</v>
      </c>
      <c r="G810" s="96">
        <f>G811+G812+G813</f>
        <v>0</v>
      </c>
      <c r="H810" s="75">
        <f>H811+H812+H813</f>
        <v>0</v>
      </c>
      <c r="I810" s="75">
        <f>I811+I812+I813</f>
        <v>0</v>
      </c>
      <c r="J810" s="96">
        <f>J811+J812+J813</f>
        <v>0</v>
      </c>
      <c r="K810" s="287">
        <f>K811+K812+K813</f>
        <v>0</v>
      </c>
      <c r="L810" s="313"/>
      <c r="M810" s="75"/>
      <c r="N810" s="96"/>
      <c r="O810" s="96"/>
      <c r="P810" s="287"/>
      <c r="Q810" s="449"/>
      <c r="R810" s="449"/>
      <c r="S810" s="465" t="e">
        <f t="shared" si="156"/>
        <v>#DIV/0!</v>
      </c>
    </row>
    <row r="811" spans="1:19" ht="12.75" customHeight="1" hidden="1">
      <c r="A811" s="46"/>
      <c r="B811" s="71" t="s">
        <v>254</v>
      </c>
      <c r="C811" s="72" t="s">
        <v>255</v>
      </c>
      <c r="D811" s="72" t="s">
        <v>255</v>
      </c>
      <c r="E811" s="72" t="s">
        <v>251</v>
      </c>
      <c r="F811" s="74" t="s">
        <v>426</v>
      </c>
      <c r="G811" s="96"/>
      <c r="H811" s="75"/>
      <c r="I811" s="75"/>
      <c r="J811" s="96"/>
      <c r="K811" s="287"/>
      <c r="L811" s="313"/>
      <c r="M811" s="75"/>
      <c r="N811" s="96"/>
      <c r="O811" s="96"/>
      <c r="P811" s="287"/>
      <c r="Q811" s="449"/>
      <c r="R811" s="449"/>
      <c r="S811" s="465" t="e">
        <f t="shared" si="156"/>
        <v>#DIV/0!</v>
      </c>
    </row>
    <row r="812" spans="1:19" ht="12.75" hidden="1">
      <c r="A812" s="46" t="s">
        <v>213</v>
      </c>
      <c r="B812" s="71" t="s">
        <v>254</v>
      </c>
      <c r="C812" s="72" t="s">
        <v>255</v>
      </c>
      <c r="D812" s="72" t="s">
        <v>255</v>
      </c>
      <c r="E812" s="72" t="s">
        <v>251</v>
      </c>
      <c r="F812" s="74" t="s">
        <v>426</v>
      </c>
      <c r="G812" s="96"/>
      <c r="H812" s="75"/>
      <c r="I812" s="75"/>
      <c r="J812" s="96"/>
      <c r="K812" s="287"/>
      <c r="L812" s="313"/>
      <c r="M812" s="75"/>
      <c r="N812" s="96"/>
      <c r="O812" s="96"/>
      <c r="P812" s="287"/>
      <c r="Q812" s="449"/>
      <c r="R812" s="449"/>
      <c r="S812" s="465" t="e">
        <f t="shared" si="156"/>
        <v>#DIV/0!</v>
      </c>
    </row>
    <row r="813" spans="1:19" ht="12.75" hidden="1">
      <c r="A813" s="46" t="s">
        <v>214</v>
      </c>
      <c r="B813" s="71" t="s">
        <v>254</v>
      </c>
      <c r="C813" s="72" t="s">
        <v>255</v>
      </c>
      <c r="D813" s="72" t="s">
        <v>255</v>
      </c>
      <c r="E813" s="72" t="s">
        <v>251</v>
      </c>
      <c r="F813" s="74" t="s">
        <v>426</v>
      </c>
      <c r="G813" s="96"/>
      <c r="H813" s="75"/>
      <c r="I813" s="75"/>
      <c r="J813" s="96"/>
      <c r="K813" s="287"/>
      <c r="L813" s="313"/>
      <c r="M813" s="75"/>
      <c r="N813" s="96"/>
      <c r="O813" s="96"/>
      <c r="P813" s="287"/>
      <c r="Q813" s="449"/>
      <c r="R813" s="449"/>
      <c r="S813" s="465" t="e">
        <f t="shared" si="156"/>
        <v>#DIV/0!</v>
      </c>
    </row>
    <row r="814" spans="1:19" ht="12.75" customHeight="1" hidden="1">
      <c r="A814" s="46" t="s">
        <v>222</v>
      </c>
      <c r="B814" s="71" t="s">
        <v>254</v>
      </c>
      <c r="C814" s="72" t="s">
        <v>255</v>
      </c>
      <c r="D814" s="72" t="s">
        <v>255</v>
      </c>
      <c r="E814" s="72" t="s">
        <v>251</v>
      </c>
      <c r="F814" s="74" t="s">
        <v>426</v>
      </c>
      <c r="G814" s="96">
        <f>G815+G816+G817+G818+G819+G820</f>
        <v>0</v>
      </c>
      <c r="H814" s="75">
        <f>H815+H816+H817+H818+H819+H820</f>
        <v>0</v>
      </c>
      <c r="I814" s="75">
        <f>I815+I816+I817+I818+I819+I820</f>
        <v>0</v>
      </c>
      <c r="J814" s="96">
        <f>J815+J816+J817+J818+J819+J820</f>
        <v>0</v>
      </c>
      <c r="K814" s="287">
        <f>K815+K816+K817+K818+K819+K820</f>
        <v>0</v>
      </c>
      <c r="L814" s="313"/>
      <c r="M814" s="75"/>
      <c r="N814" s="96"/>
      <c r="O814" s="96"/>
      <c r="P814" s="287"/>
      <c r="Q814" s="449"/>
      <c r="R814" s="449"/>
      <c r="S814" s="465" t="e">
        <f t="shared" si="156"/>
        <v>#DIV/0!</v>
      </c>
    </row>
    <row r="815" spans="1:19" ht="12.75" hidden="1">
      <c r="A815" s="46" t="s">
        <v>223</v>
      </c>
      <c r="B815" s="71" t="s">
        <v>254</v>
      </c>
      <c r="C815" s="72" t="s">
        <v>255</v>
      </c>
      <c r="D815" s="72" t="s">
        <v>255</v>
      </c>
      <c r="E815" s="72" t="s">
        <v>251</v>
      </c>
      <c r="F815" s="74" t="s">
        <v>426</v>
      </c>
      <c r="G815" s="96"/>
      <c r="H815" s="75"/>
      <c r="I815" s="75"/>
      <c r="J815" s="96"/>
      <c r="K815" s="287"/>
      <c r="L815" s="313"/>
      <c r="M815" s="75"/>
      <c r="N815" s="96"/>
      <c r="O815" s="96"/>
      <c r="P815" s="287"/>
      <c r="Q815" s="449"/>
      <c r="R815" s="449"/>
      <c r="S815" s="465" t="e">
        <f t="shared" si="156"/>
        <v>#DIV/0!</v>
      </c>
    </row>
    <row r="816" spans="1:19" ht="12.75" hidden="1">
      <c r="A816" s="46" t="s">
        <v>224</v>
      </c>
      <c r="B816" s="71" t="s">
        <v>254</v>
      </c>
      <c r="C816" s="72" t="s">
        <v>255</v>
      </c>
      <c r="D816" s="72" t="s">
        <v>255</v>
      </c>
      <c r="E816" s="72" t="s">
        <v>251</v>
      </c>
      <c r="F816" s="74" t="s">
        <v>426</v>
      </c>
      <c r="G816" s="96"/>
      <c r="H816" s="75"/>
      <c r="I816" s="75"/>
      <c r="J816" s="96"/>
      <c r="K816" s="287"/>
      <c r="L816" s="313"/>
      <c r="M816" s="75"/>
      <c r="N816" s="96"/>
      <c r="O816" s="96"/>
      <c r="P816" s="287"/>
      <c r="Q816" s="449"/>
      <c r="R816" s="449"/>
      <c r="S816" s="465" t="e">
        <f t="shared" si="156"/>
        <v>#DIV/0!</v>
      </c>
    </row>
    <row r="817" spans="1:19" ht="12.75" hidden="1">
      <c r="A817" s="46" t="s">
        <v>242</v>
      </c>
      <c r="B817" s="71" t="s">
        <v>254</v>
      </c>
      <c r="C817" s="72" t="s">
        <v>255</v>
      </c>
      <c r="D817" s="72" t="s">
        <v>255</v>
      </c>
      <c r="E817" s="72" t="s">
        <v>251</v>
      </c>
      <c r="F817" s="74" t="s">
        <v>426</v>
      </c>
      <c r="G817" s="96"/>
      <c r="H817" s="75"/>
      <c r="I817" s="75"/>
      <c r="J817" s="96"/>
      <c r="K817" s="287"/>
      <c r="L817" s="313"/>
      <c r="M817" s="75"/>
      <c r="N817" s="96"/>
      <c r="O817" s="96"/>
      <c r="P817" s="287"/>
      <c r="Q817" s="449"/>
      <c r="R817" s="449"/>
      <c r="S817" s="465" t="e">
        <f t="shared" si="156"/>
        <v>#DIV/0!</v>
      </c>
    </row>
    <row r="818" spans="1:19" ht="12.75" hidden="1">
      <c r="A818" s="46" t="s">
        <v>243</v>
      </c>
      <c r="B818" s="71" t="s">
        <v>254</v>
      </c>
      <c r="C818" s="72" t="s">
        <v>255</v>
      </c>
      <c r="D818" s="72" t="s">
        <v>255</v>
      </c>
      <c r="E818" s="72" t="s">
        <v>251</v>
      </c>
      <c r="F818" s="74" t="s">
        <v>426</v>
      </c>
      <c r="G818" s="96"/>
      <c r="H818" s="75"/>
      <c r="I818" s="75"/>
      <c r="J818" s="96"/>
      <c r="K818" s="287"/>
      <c r="L818" s="313"/>
      <c r="M818" s="75"/>
      <c r="N818" s="96"/>
      <c r="O818" s="96"/>
      <c r="P818" s="287"/>
      <c r="Q818" s="449"/>
      <c r="R818" s="449"/>
      <c r="S818" s="465" t="e">
        <f t="shared" si="156"/>
        <v>#DIV/0!</v>
      </c>
    </row>
    <row r="819" spans="1:19" ht="12.75" hidden="1">
      <c r="A819" s="46" t="s">
        <v>225</v>
      </c>
      <c r="B819" s="71" t="s">
        <v>254</v>
      </c>
      <c r="C819" s="72" t="s">
        <v>255</v>
      </c>
      <c r="D819" s="72" t="s">
        <v>255</v>
      </c>
      <c r="E819" s="72" t="s">
        <v>251</v>
      </c>
      <c r="F819" s="74" t="s">
        <v>426</v>
      </c>
      <c r="G819" s="96"/>
      <c r="H819" s="75"/>
      <c r="I819" s="75"/>
      <c r="J819" s="96"/>
      <c r="K819" s="287"/>
      <c r="L819" s="313"/>
      <c r="M819" s="75"/>
      <c r="N819" s="96"/>
      <c r="O819" s="96"/>
      <c r="P819" s="287"/>
      <c r="Q819" s="449"/>
      <c r="R819" s="449"/>
      <c r="S819" s="465" t="e">
        <f t="shared" si="156"/>
        <v>#DIV/0!</v>
      </c>
    </row>
    <row r="820" spans="1:19" ht="12.75" hidden="1">
      <c r="A820" s="46" t="s">
        <v>226</v>
      </c>
      <c r="B820" s="71" t="s">
        <v>254</v>
      </c>
      <c r="C820" s="72" t="s">
        <v>255</v>
      </c>
      <c r="D820" s="72" t="s">
        <v>255</v>
      </c>
      <c r="E820" s="72" t="s">
        <v>251</v>
      </c>
      <c r="F820" s="74" t="s">
        <v>426</v>
      </c>
      <c r="G820" s="96"/>
      <c r="H820" s="75"/>
      <c r="I820" s="75"/>
      <c r="J820" s="96"/>
      <c r="K820" s="287"/>
      <c r="L820" s="313"/>
      <c r="M820" s="75"/>
      <c r="N820" s="96"/>
      <c r="O820" s="96"/>
      <c r="P820" s="287"/>
      <c r="Q820" s="449"/>
      <c r="R820" s="449"/>
      <c r="S820" s="465" t="e">
        <f t="shared" si="156"/>
        <v>#DIV/0!</v>
      </c>
    </row>
    <row r="821" spans="1:19" ht="12.75" hidden="1">
      <c r="A821" s="46" t="s">
        <v>386</v>
      </c>
      <c r="B821" s="71" t="s">
        <v>254</v>
      </c>
      <c r="C821" s="72" t="s">
        <v>255</v>
      </c>
      <c r="D821" s="72" t="s">
        <v>255</v>
      </c>
      <c r="E821" s="72" t="s">
        <v>251</v>
      </c>
      <c r="F821" s="74" t="s">
        <v>426</v>
      </c>
      <c r="G821" s="96"/>
      <c r="H821" s="75"/>
      <c r="I821" s="75"/>
      <c r="J821" s="96"/>
      <c r="K821" s="287"/>
      <c r="L821" s="313"/>
      <c r="M821" s="75"/>
      <c r="N821" s="96"/>
      <c r="O821" s="96"/>
      <c r="P821" s="287"/>
      <c r="Q821" s="449"/>
      <c r="R821" s="449"/>
      <c r="S821" s="465" t="e">
        <f t="shared" si="156"/>
        <v>#DIV/0!</v>
      </c>
    </row>
    <row r="822" spans="1:19" ht="14.25" customHeight="1" hidden="1">
      <c r="A822" s="46" t="s">
        <v>228</v>
      </c>
      <c r="B822" s="71" t="s">
        <v>254</v>
      </c>
      <c r="C822" s="72" t="s">
        <v>255</v>
      </c>
      <c r="D822" s="72" t="s">
        <v>255</v>
      </c>
      <c r="E822" s="72" t="s">
        <v>251</v>
      </c>
      <c r="F822" s="74" t="s">
        <v>426</v>
      </c>
      <c r="G822" s="96">
        <f>G823+G824</f>
        <v>0</v>
      </c>
      <c r="H822" s="75">
        <f>H823+H824</f>
        <v>0</v>
      </c>
      <c r="I822" s="75">
        <f>I823+I824</f>
        <v>0</v>
      </c>
      <c r="J822" s="96">
        <f>J823+J824</f>
        <v>0</v>
      </c>
      <c r="K822" s="287">
        <f>K823+K824</f>
        <v>0</v>
      </c>
      <c r="L822" s="313"/>
      <c r="M822" s="75"/>
      <c r="N822" s="96"/>
      <c r="O822" s="96"/>
      <c r="P822" s="287"/>
      <c r="Q822" s="449"/>
      <c r="R822" s="449"/>
      <c r="S822" s="465" t="e">
        <f t="shared" si="156"/>
        <v>#DIV/0!</v>
      </c>
    </row>
    <row r="823" spans="1:19" ht="12.75" customHeight="1" hidden="1">
      <c r="A823" s="46" t="s">
        <v>229</v>
      </c>
      <c r="B823" s="71" t="s">
        <v>254</v>
      </c>
      <c r="C823" s="72" t="s">
        <v>255</v>
      </c>
      <c r="D823" s="72" t="s">
        <v>255</v>
      </c>
      <c r="E823" s="72" t="s">
        <v>251</v>
      </c>
      <c r="F823" s="74" t="s">
        <v>426</v>
      </c>
      <c r="G823" s="96"/>
      <c r="H823" s="75"/>
      <c r="I823" s="75"/>
      <c r="J823" s="96"/>
      <c r="K823" s="287"/>
      <c r="L823" s="313"/>
      <c r="M823" s="75"/>
      <c r="N823" s="96"/>
      <c r="O823" s="96"/>
      <c r="P823" s="287"/>
      <c r="Q823" s="449"/>
      <c r="R823" s="449"/>
      <c r="S823" s="465" t="e">
        <f t="shared" si="156"/>
        <v>#DIV/0!</v>
      </c>
    </row>
    <row r="824" spans="1:19" ht="12.75" hidden="1">
      <c r="A824" s="46" t="s">
        <v>230</v>
      </c>
      <c r="B824" s="71" t="s">
        <v>254</v>
      </c>
      <c r="C824" s="72" t="s">
        <v>255</v>
      </c>
      <c r="D824" s="72" t="s">
        <v>255</v>
      </c>
      <c r="E824" s="72" t="s">
        <v>251</v>
      </c>
      <c r="F824" s="74" t="s">
        <v>426</v>
      </c>
      <c r="G824" s="96"/>
      <c r="H824" s="75"/>
      <c r="I824" s="75"/>
      <c r="J824" s="96"/>
      <c r="K824" s="287"/>
      <c r="L824" s="313"/>
      <c r="M824" s="75"/>
      <c r="N824" s="96"/>
      <c r="O824" s="96"/>
      <c r="P824" s="287"/>
      <c r="Q824" s="449"/>
      <c r="R824" s="449"/>
      <c r="S824" s="465" t="e">
        <f t="shared" si="156"/>
        <v>#DIV/0!</v>
      </c>
    </row>
    <row r="825" spans="1:19" ht="12.75" hidden="1">
      <c r="A825" s="46" t="s">
        <v>427</v>
      </c>
      <c r="B825" s="71" t="s">
        <v>340</v>
      </c>
      <c r="C825" s="72" t="s">
        <v>255</v>
      </c>
      <c r="D825" s="72" t="s">
        <v>255</v>
      </c>
      <c r="E825" s="72" t="s">
        <v>428</v>
      </c>
      <c r="F825" s="74" t="s">
        <v>263</v>
      </c>
      <c r="G825" s="96">
        <f>G826</f>
        <v>195.84</v>
      </c>
      <c r="H825" s="75">
        <f>H826</f>
        <v>195.65</v>
      </c>
      <c r="I825" s="75">
        <f>I826</f>
        <v>213.74999999999997</v>
      </c>
      <c r="J825" s="96">
        <f>J826</f>
        <v>0</v>
      </c>
      <c r="K825" s="287">
        <f>K826</f>
        <v>195.84</v>
      </c>
      <c r="L825" s="313"/>
      <c r="M825" s="75"/>
      <c r="N825" s="96"/>
      <c r="O825" s="96"/>
      <c r="P825" s="287"/>
      <c r="Q825" s="495"/>
      <c r="R825" s="495"/>
      <c r="S825" s="496" t="e">
        <f t="shared" si="156"/>
        <v>#DIV/0!</v>
      </c>
    </row>
    <row r="826" spans="1:19" ht="16.5" customHeight="1">
      <c r="A826" s="46" t="s">
        <v>427</v>
      </c>
      <c r="B826" s="71" t="s">
        <v>340</v>
      </c>
      <c r="C826" s="72" t="s">
        <v>255</v>
      </c>
      <c r="D826" s="72" t="s">
        <v>255</v>
      </c>
      <c r="E826" s="72" t="s">
        <v>428</v>
      </c>
      <c r="F826" s="262"/>
      <c r="G826" s="264">
        <f>G827+G837</f>
        <v>195.84</v>
      </c>
      <c r="H826" s="264">
        <f>H827+H837</f>
        <v>195.65</v>
      </c>
      <c r="I826" s="264">
        <f>I827+I837</f>
        <v>213.74999999999997</v>
      </c>
      <c r="J826" s="264">
        <f>J827+J837</f>
        <v>0</v>
      </c>
      <c r="K826" s="301">
        <f aca="true" t="shared" si="165" ref="K826:R826">K827</f>
        <v>195.84</v>
      </c>
      <c r="L826" s="301">
        <f t="shared" si="165"/>
        <v>0</v>
      </c>
      <c r="M826" s="301">
        <f t="shared" si="165"/>
        <v>0</v>
      </c>
      <c r="N826" s="301">
        <f t="shared" si="165"/>
        <v>195.84</v>
      </c>
      <c r="O826" s="301">
        <f t="shared" si="165"/>
        <v>0</v>
      </c>
      <c r="P826" s="301">
        <f t="shared" si="165"/>
        <v>176</v>
      </c>
      <c r="Q826" s="471">
        <f t="shared" si="165"/>
        <v>371.84000000000003</v>
      </c>
      <c r="R826" s="472">
        <f t="shared" si="165"/>
        <v>365.49603</v>
      </c>
      <c r="S826" s="473">
        <f t="shared" si="156"/>
        <v>98.2938979130809</v>
      </c>
    </row>
    <row r="827" spans="1:19" ht="16.5" customHeight="1">
      <c r="A827" s="153" t="s">
        <v>429</v>
      </c>
      <c r="B827" s="90" t="s">
        <v>340</v>
      </c>
      <c r="C827" s="129" t="s">
        <v>255</v>
      </c>
      <c r="D827" s="129" t="s">
        <v>255</v>
      </c>
      <c r="E827" s="129" t="s">
        <v>430</v>
      </c>
      <c r="F827" s="263"/>
      <c r="G827" s="158">
        <f>G829+G830+G834</f>
        <v>195.84</v>
      </c>
      <c r="H827" s="158">
        <f>H829+H830+H834</f>
        <v>195.65</v>
      </c>
      <c r="I827" s="158">
        <f>I829+I830+I834</f>
        <v>213.74999999999997</v>
      </c>
      <c r="J827" s="158">
        <f>J829+J830+J834</f>
        <v>-195.84</v>
      </c>
      <c r="K827" s="294">
        <f aca="true" t="shared" si="166" ref="K827:Q827">K837</f>
        <v>195.84</v>
      </c>
      <c r="L827" s="294">
        <f t="shared" si="166"/>
        <v>0</v>
      </c>
      <c r="M827" s="294">
        <f t="shared" si="166"/>
        <v>0</v>
      </c>
      <c r="N827" s="294">
        <f t="shared" si="166"/>
        <v>195.84</v>
      </c>
      <c r="O827" s="294">
        <f t="shared" si="166"/>
        <v>0</v>
      </c>
      <c r="P827" s="294">
        <f t="shared" si="166"/>
        <v>176</v>
      </c>
      <c r="Q827" s="487">
        <f t="shared" si="166"/>
        <v>371.84000000000003</v>
      </c>
      <c r="R827" s="448">
        <f>R837</f>
        <v>365.49603</v>
      </c>
      <c r="S827" s="465">
        <f t="shared" si="156"/>
        <v>98.2938979130809</v>
      </c>
    </row>
    <row r="828" spans="1:19" ht="0.75" customHeight="1" hidden="1">
      <c r="A828" s="153" t="s">
        <v>208</v>
      </c>
      <c r="B828" s="90" t="s">
        <v>340</v>
      </c>
      <c r="C828" s="91" t="s">
        <v>255</v>
      </c>
      <c r="D828" s="91" t="s">
        <v>255</v>
      </c>
      <c r="E828" s="91" t="s">
        <v>430</v>
      </c>
      <c r="F828" s="266" t="s">
        <v>201</v>
      </c>
      <c r="G828" s="158">
        <f>G829+G830+G834</f>
        <v>195.84</v>
      </c>
      <c r="H828" s="158">
        <f>H829+H830+H834</f>
        <v>195.65</v>
      </c>
      <c r="I828" s="158">
        <f>I829+I830+I834</f>
        <v>213.74999999999997</v>
      </c>
      <c r="J828" s="158">
        <f>J829+J830+J834</f>
        <v>-195.84</v>
      </c>
      <c r="K828" s="294">
        <f>K829+K830+K834</f>
        <v>0</v>
      </c>
      <c r="L828" s="315"/>
      <c r="M828" s="82"/>
      <c r="N828" s="89"/>
      <c r="O828" s="89"/>
      <c r="P828" s="275"/>
      <c r="Q828" s="487"/>
      <c r="R828" s="448"/>
      <c r="S828" s="465" t="e">
        <f t="shared" si="156"/>
        <v>#DIV/0!</v>
      </c>
    </row>
    <row r="829" spans="1:19" ht="14.25" customHeight="1" hidden="1">
      <c r="A829" s="181" t="s">
        <v>108</v>
      </c>
      <c r="B829" s="214" t="s">
        <v>340</v>
      </c>
      <c r="C829" s="91" t="s">
        <v>255</v>
      </c>
      <c r="D829" s="91" t="s">
        <v>255</v>
      </c>
      <c r="E829" s="91" t="s">
        <v>430</v>
      </c>
      <c r="F829" s="266" t="s">
        <v>105</v>
      </c>
      <c r="G829" s="158">
        <f>1*0.96</f>
        <v>0.96</v>
      </c>
      <c r="H829" s="158">
        <f>1*0.91</f>
        <v>0.91</v>
      </c>
      <c r="I829" s="158">
        <f>1*0.95</f>
        <v>0.95</v>
      </c>
      <c r="J829" s="158">
        <v>-0.96</v>
      </c>
      <c r="K829" s="294">
        <f>G829+J829</f>
        <v>0</v>
      </c>
      <c r="L829" s="315"/>
      <c r="M829" s="82"/>
      <c r="N829" s="89"/>
      <c r="O829" s="89"/>
      <c r="P829" s="275"/>
      <c r="Q829" s="487"/>
      <c r="R829" s="448"/>
      <c r="S829" s="465" t="e">
        <f t="shared" si="156"/>
        <v>#DIV/0!</v>
      </c>
    </row>
    <row r="830" spans="1:19" ht="17.25" customHeight="1" hidden="1">
      <c r="A830" s="192" t="s">
        <v>109</v>
      </c>
      <c r="B830" s="214" t="s">
        <v>340</v>
      </c>
      <c r="C830" s="91" t="s">
        <v>255</v>
      </c>
      <c r="D830" s="91" t="s">
        <v>255</v>
      </c>
      <c r="E830" s="91" t="s">
        <v>430</v>
      </c>
      <c r="F830" s="156" t="s">
        <v>106</v>
      </c>
      <c r="G830" s="158">
        <f>G831+G832+G835+G836</f>
        <v>136.32</v>
      </c>
      <c r="H830" s="158">
        <f>H831+H832+H835+H836</f>
        <v>136.5</v>
      </c>
      <c r="I830" s="158">
        <f>I831+I832+I835+I836</f>
        <v>149.14999999999998</v>
      </c>
      <c r="J830" s="158">
        <f>J831+J832+J835+J836</f>
        <v>-136.32</v>
      </c>
      <c r="K830" s="294">
        <f>K831+K832+K835+K836</f>
        <v>0</v>
      </c>
      <c r="L830" s="315"/>
      <c r="M830" s="82"/>
      <c r="N830" s="89"/>
      <c r="O830" s="89"/>
      <c r="P830" s="275"/>
      <c r="Q830" s="487"/>
      <c r="R830" s="448"/>
      <c r="S830" s="465" t="e">
        <f t="shared" si="156"/>
        <v>#DIV/0!</v>
      </c>
    </row>
    <row r="831" spans="1:19" ht="16.5" customHeight="1" hidden="1">
      <c r="A831" s="153"/>
      <c r="B831" s="214"/>
      <c r="C831" s="91"/>
      <c r="D831" s="91"/>
      <c r="E831" s="91"/>
      <c r="F831" s="266" t="s">
        <v>234</v>
      </c>
      <c r="G831" s="158">
        <v>9.32</v>
      </c>
      <c r="H831" s="158">
        <f>24*0.91</f>
        <v>21.84</v>
      </c>
      <c r="I831" s="158">
        <f>26*0.95</f>
        <v>24.7</v>
      </c>
      <c r="J831" s="158">
        <v>-9.32</v>
      </c>
      <c r="K831" s="294">
        <f>G831+J831</f>
        <v>0</v>
      </c>
      <c r="L831" s="315"/>
      <c r="M831" s="82"/>
      <c r="N831" s="89"/>
      <c r="O831" s="89"/>
      <c r="P831" s="275"/>
      <c r="Q831" s="487"/>
      <c r="R831" s="448"/>
      <c r="S831" s="465" t="e">
        <f t="shared" si="156"/>
        <v>#DIV/0!</v>
      </c>
    </row>
    <row r="832" spans="1:19" ht="15" customHeight="1" hidden="1">
      <c r="A832" s="45"/>
      <c r="B832" s="141"/>
      <c r="C832" s="76"/>
      <c r="D832" s="76"/>
      <c r="E832" s="76"/>
      <c r="F832" s="156" t="s">
        <v>236</v>
      </c>
      <c r="G832" s="158">
        <v>10</v>
      </c>
      <c r="H832" s="158">
        <f>8*0.91</f>
        <v>7.28</v>
      </c>
      <c r="I832" s="158">
        <f>8*0.95</f>
        <v>7.6</v>
      </c>
      <c r="J832" s="158">
        <v>-10</v>
      </c>
      <c r="K832" s="294">
        <f>G832+J832</f>
        <v>0</v>
      </c>
      <c r="L832" s="315"/>
      <c r="M832" s="82"/>
      <c r="N832" s="89"/>
      <c r="O832" s="89"/>
      <c r="P832" s="275"/>
      <c r="Q832" s="487"/>
      <c r="R832" s="448"/>
      <c r="S832" s="465" t="e">
        <f t="shared" si="156"/>
        <v>#DIV/0!</v>
      </c>
    </row>
    <row r="833" spans="1:19" ht="15" customHeight="1" hidden="1">
      <c r="A833" s="45"/>
      <c r="B833" s="141"/>
      <c r="C833" s="76"/>
      <c r="D833" s="76"/>
      <c r="E833" s="76"/>
      <c r="F833" s="156" t="s">
        <v>237</v>
      </c>
      <c r="G833" s="158">
        <f>61*0.96</f>
        <v>58.559999999999995</v>
      </c>
      <c r="H833" s="158">
        <f>64*0.91</f>
        <v>58.24</v>
      </c>
      <c r="I833" s="158">
        <f>67*0.95</f>
        <v>63.65</v>
      </c>
      <c r="J833" s="158">
        <v>-58.56</v>
      </c>
      <c r="K833" s="294">
        <f>G833+J833</f>
        <v>0</v>
      </c>
      <c r="L833" s="315"/>
      <c r="M833" s="82"/>
      <c r="N833" s="89"/>
      <c r="O833" s="89"/>
      <c r="P833" s="275"/>
      <c r="Q833" s="487"/>
      <c r="R833" s="448"/>
      <c r="S833" s="465" t="e">
        <f t="shared" si="156"/>
        <v>#DIV/0!</v>
      </c>
    </row>
    <row r="834" spans="1:19" ht="13.5" hidden="1" thickBot="1">
      <c r="A834" s="194" t="s">
        <v>110</v>
      </c>
      <c r="B834" s="210" t="s">
        <v>340</v>
      </c>
      <c r="C834" s="118" t="s">
        <v>255</v>
      </c>
      <c r="D834" s="118" t="s">
        <v>255</v>
      </c>
      <c r="E834" s="118" t="s">
        <v>430</v>
      </c>
      <c r="F834" s="266" t="s">
        <v>107</v>
      </c>
      <c r="G834" s="158">
        <f>G833</f>
        <v>58.559999999999995</v>
      </c>
      <c r="H834" s="158">
        <f>H833</f>
        <v>58.24</v>
      </c>
      <c r="I834" s="158">
        <f>I833</f>
        <v>63.65</v>
      </c>
      <c r="J834" s="158">
        <f>J833</f>
        <v>-58.56</v>
      </c>
      <c r="K834" s="294">
        <f>K833</f>
        <v>0</v>
      </c>
      <c r="L834" s="315"/>
      <c r="M834" s="82"/>
      <c r="N834" s="89"/>
      <c r="O834" s="89"/>
      <c r="P834" s="275"/>
      <c r="Q834" s="487"/>
      <c r="R834" s="448"/>
      <c r="S834" s="465" t="e">
        <f t="shared" si="156"/>
        <v>#DIV/0!</v>
      </c>
    </row>
    <row r="835" spans="1:19" ht="13.5" customHeight="1" hidden="1">
      <c r="A835" s="50"/>
      <c r="B835" s="30"/>
      <c r="C835" s="79"/>
      <c r="D835" s="79"/>
      <c r="E835" s="79"/>
      <c r="F835" s="156" t="s">
        <v>238</v>
      </c>
      <c r="G835" s="158"/>
      <c r="H835" s="158">
        <f>16*0.91</f>
        <v>14.56</v>
      </c>
      <c r="I835" s="158">
        <f>16*0.95</f>
        <v>15.2</v>
      </c>
      <c r="J835" s="158"/>
      <c r="K835" s="294">
        <f>G835+J835</f>
        <v>0</v>
      </c>
      <c r="L835" s="315"/>
      <c r="M835" s="82"/>
      <c r="N835" s="89"/>
      <c r="O835" s="89"/>
      <c r="P835" s="275"/>
      <c r="Q835" s="487"/>
      <c r="R835" s="448"/>
      <c r="S835" s="465" t="e">
        <f t="shared" si="156"/>
        <v>#DIV/0!</v>
      </c>
    </row>
    <row r="836" spans="1:19" ht="14.25" customHeight="1" hidden="1">
      <c r="A836" s="50"/>
      <c r="B836" s="30"/>
      <c r="C836" s="79"/>
      <c r="D836" s="79"/>
      <c r="E836" s="79"/>
      <c r="F836" s="156" t="s">
        <v>239</v>
      </c>
      <c r="G836" s="158">
        <v>117</v>
      </c>
      <c r="H836" s="158">
        <f>102*0.91</f>
        <v>92.82000000000001</v>
      </c>
      <c r="I836" s="158">
        <f>107*0.95</f>
        <v>101.64999999999999</v>
      </c>
      <c r="J836" s="158">
        <v>-117</v>
      </c>
      <c r="K836" s="294">
        <f>G836+J836</f>
        <v>0</v>
      </c>
      <c r="L836" s="315"/>
      <c r="M836" s="82"/>
      <c r="N836" s="89"/>
      <c r="O836" s="89"/>
      <c r="P836" s="275"/>
      <c r="Q836" s="487"/>
      <c r="R836" s="448"/>
      <c r="S836" s="465" t="e">
        <f t="shared" si="156"/>
        <v>#DIV/0!</v>
      </c>
    </row>
    <row r="837" spans="1:19" ht="15.75" customHeight="1" thickBot="1">
      <c r="A837" s="397" t="s">
        <v>120</v>
      </c>
      <c r="B837" s="210" t="s">
        <v>340</v>
      </c>
      <c r="C837" s="118" t="s">
        <v>255</v>
      </c>
      <c r="D837" s="118" t="s">
        <v>255</v>
      </c>
      <c r="E837" s="118" t="s">
        <v>430</v>
      </c>
      <c r="F837" s="403" t="s">
        <v>112</v>
      </c>
      <c r="G837" s="277"/>
      <c r="H837" s="277"/>
      <c r="I837" s="277"/>
      <c r="J837" s="277">
        <v>195.84</v>
      </c>
      <c r="K837" s="279">
        <f>G837+J837</f>
        <v>195.84</v>
      </c>
      <c r="L837" s="329"/>
      <c r="M837" s="87"/>
      <c r="N837" s="94">
        <f>K837+L837+M837</f>
        <v>195.84</v>
      </c>
      <c r="O837" s="94"/>
      <c r="P837" s="291">
        <v>176</v>
      </c>
      <c r="Q837" s="488">
        <f>N837+O837+P837</f>
        <v>371.84000000000003</v>
      </c>
      <c r="R837" s="489">
        <v>365.49603</v>
      </c>
      <c r="S837" s="515">
        <f t="shared" si="156"/>
        <v>98.2938979130809</v>
      </c>
    </row>
    <row r="838" spans="1:19" ht="0.75" customHeight="1" hidden="1">
      <c r="A838" s="50"/>
      <c r="B838" s="30"/>
      <c r="C838" s="79"/>
      <c r="D838" s="79"/>
      <c r="E838" s="79"/>
      <c r="F838" s="155"/>
      <c r="G838" s="401"/>
      <c r="H838" s="401"/>
      <c r="I838" s="401"/>
      <c r="J838" s="401"/>
      <c r="K838" s="402"/>
      <c r="L838" s="331"/>
      <c r="M838" s="137"/>
      <c r="N838" s="102"/>
      <c r="O838" s="102"/>
      <c r="P838" s="280"/>
      <c r="Q838" s="485"/>
      <c r="R838" s="485"/>
      <c r="S838" s="481" t="e">
        <f t="shared" si="156"/>
        <v>#DIV/0!</v>
      </c>
    </row>
    <row r="839" spans="1:19" ht="16.5" customHeight="1">
      <c r="A839" s="47" t="s">
        <v>541</v>
      </c>
      <c r="B839" s="99" t="s">
        <v>299</v>
      </c>
      <c r="C839" s="112" t="s">
        <v>255</v>
      </c>
      <c r="D839" s="112" t="s">
        <v>255</v>
      </c>
      <c r="E839" s="112" t="s">
        <v>329</v>
      </c>
      <c r="F839" s="252"/>
      <c r="G839" s="264">
        <f aca="true" t="shared" si="167" ref="G839:R839">G840</f>
        <v>176.3</v>
      </c>
      <c r="H839" s="264">
        <f t="shared" si="167"/>
        <v>185.46760000000003</v>
      </c>
      <c r="I839" s="264">
        <f t="shared" si="167"/>
        <v>194.55551240000003</v>
      </c>
      <c r="J839" s="264">
        <f t="shared" si="167"/>
        <v>1558.4</v>
      </c>
      <c r="K839" s="301">
        <f t="shared" si="167"/>
        <v>1734.7</v>
      </c>
      <c r="L839" s="301">
        <f t="shared" si="167"/>
        <v>-3.1</v>
      </c>
      <c r="M839" s="301">
        <f t="shared" si="167"/>
        <v>0</v>
      </c>
      <c r="N839" s="301">
        <f t="shared" si="167"/>
        <v>1731.6000000000001</v>
      </c>
      <c r="O839" s="301">
        <f t="shared" si="167"/>
        <v>0</v>
      </c>
      <c r="P839" s="301">
        <f t="shared" si="167"/>
        <v>0</v>
      </c>
      <c r="Q839" s="449">
        <f t="shared" si="167"/>
        <v>1731.6000000000001</v>
      </c>
      <c r="R839" s="449">
        <f t="shared" si="167"/>
        <v>1731.6000000000001</v>
      </c>
      <c r="S839" s="465">
        <f t="shared" si="156"/>
        <v>100</v>
      </c>
    </row>
    <row r="840" spans="1:19" ht="38.25">
      <c r="A840" s="109" t="s">
        <v>163</v>
      </c>
      <c r="B840" s="99" t="s">
        <v>299</v>
      </c>
      <c r="C840" s="112" t="s">
        <v>255</v>
      </c>
      <c r="D840" s="112" t="s">
        <v>255</v>
      </c>
      <c r="E840" s="112" t="s">
        <v>431</v>
      </c>
      <c r="F840" s="252"/>
      <c r="G840" s="264">
        <f aca="true" t="shared" si="168" ref="G840:N840">G845+G847</f>
        <v>176.3</v>
      </c>
      <c r="H840" s="264">
        <f t="shared" si="168"/>
        <v>185.46760000000003</v>
      </c>
      <c r="I840" s="264">
        <f t="shared" si="168"/>
        <v>194.55551240000003</v>
      </c>
      <c r="J840" s="264">
        <f t="shared" si="168"/>
        <v>1558.4</v>
      </c>
      <c r="K840" s="301">
        <f t="shared" si="168"/>
        <v>1734.7</v>
      </c>
      <c r="L840" s="301">
        <f t="shared" si="168"/>
        <v>-3.1</v>
      </c>
      <c r="M840" s="301">
        <f t="shared" si="168"/>
        <v>0</v>
      </c>
      <c r="N840" s="301">
        <f t="shared" si="168"/>
        <v>1731.6000000000001</v>
      </c>
      <c r="O840" s="301">
        <f>O845+O847</f>
        <v>0</v>
      </c>
      <c r="P840" s="301">
        <f>P845+P847</f>
        <v>0</v>
      </c>
      <c r="Q840" s="449">
        <f>Q845+Q847</f>
        <v>1731.6000000000001</v>
      </c>
      <c r="R840" s="449">
        <f>R845+R847</f>
        <v>1731.6000000000001</v>
      </c>
      <c r="S840" s="465">
        <f t="shared" si="156"/>
        <v>100</v>
      </c>
    </row>
    <row r="841" spans="1:19" ht="12.75" hidden="1">
      <c r="A841" s="109" t="s">
        <v>432</v>
      </c>
      <c r="B841" s="99" t="s">
        <v>299</v>
      </c>
      <c r="C841" s="100" t="s">
        <v>255</v>
      </c>
      <c r="D841" s="100" t="s">
        <v>255</v>
      </c>
      <c r="E841" s="100" t="s">
        <v>431</v>
      </c>
      <c r="F841" s="270" t="s">
        <v>399</v>
      </c>
      <c r="G841" s="158">
        <f>G842</f>
        <v>0</v>
      </c>
      <c r="H841" s="158">
        <f>H842</f>
        <v>0</v>
      </c>
      <c r="I841" s="158">
        <f>I842</f>
        <v>0</v>
      </c>
      <c r="J841" s="158">
        <f>J842</f>
        <v>0</v>
      </c>
      <c r="K841" s="294">
        <f>K842</f>
        <v>0</v>
      </c>
      <c r="L841" s="315"/>
      <c r="M841" s="82"/>
      <c r="N841" s="89"/>
      <c r="O841" s="89"/>
      <c r="P841" s="275"/>
      <c r="Q841" s="448"/>
      <c r="R841" s="448"/>
      <c r="S841" s="465" t="e">
        <f t="shared" si="156"/>
        <v>#DIV/0!</v>
      </c>
    </row>
    <row r="842" spans="1:19" ht="12.75" hidden="1">
      <c r="A842" s="109"/>
      <c r="B842" s="99"/>
      <c r="C842" s="100"/>
      <c r="D842" s="100"/>
      <c r="E842" s="100"/>
      <c r="F842" s="270" t="s">
        <v>239</v>
      </c>
      <c r="G842" s="158"/>
      <c r="H842" s="158"/>
      <c r="I842" s="158"/>
      <c r="J842" s="158"/>
      <c r="K842" s="294"/>
      <c r="L842" s="315"/>
      <c r="M842" s="82"/>
      <c r="N842" s="89"/>
      <c r="O842" s="89"/>
      <c r="P842" s="275"/>
      <c r="Q842" s="448"/>
      <c r="R842" s="448"/>
      <c r="S842" s="465" t="e">
        <f t="shared" si="156"/>
        <v>#DIV/0!</v>
      </c>
    </row>
    <row r="843" spans="1:19" ht="12.75" hidden="1">
      <c r="A843" s="46" t="s">
        <v>433</v>
      </c>
      <c r="B843" s="71" t="s">
        <v>299</v>
      </c>
      <c r="C843" s="76" t="s">
        <v>255</v>
      </c>
      <c r="D843" s="76" t="s">
        <v>255</v>
      </c>
      <c r="E843" s="76" t="s">
        <v>434</v>
      </c>
      <c r="F843" s="156" t="s">
        <v>399</v>
      </c>
      <c r="G843" s="158">
        <f>G844</f>
        <v>0</v>
      </c>
      <c r="H843" s="158">
        <f>H844</f>
        <v>0</v>
      </c>
      <c r="I843" s="158">
        <f>I844</f>
        <v>0</v>
      </c>
      <c r="J843" s="158">
        <f>J844</f>
        <v>0</v>
      </c>
      <c r="K843" s="294">
        <f>K844</f>
        <v>0</v>
      </c>
      <c r="L843" s="315"/>
      <c r="M843" s="82"/>
      <c r="N843" s="89"/>
      <c r="O843" s="89"/>
      <c r="P843" s="275"/>
      <c r="Q843" s="448"/>
      <c r="R843" s="448"/>
      <c r="S843" s="465" t="e">
        <f t="shared" si="156"/>
        <v>#DIV/0!</v>
      </c>
    </row>
    <row r="844" spans="1:19" ht="12.75" hidden="1">
      <c r="A844" s="46"/>
      <c r="B844" s="71"/>
      <c r="C844" s="76"/>
      <c r="D844" s="76"/>
      <c r="E844" s="76"/>
      <c r="F844" s="156" t="s">
        <v>239</v>
      </c>
      <c r="G844" s="158">
        <v>0</v>
      </c>
      <c r="H844" s="158">
        <v>0</v>
      </c>
      <c r="I844" s="158">
        <v>0</v>
      </c>
      <c r="J844" s="158">
        <v>0</v>
      </c>
      <c r="K844" s="294">
        <v>0</v>
      </c>
      <c r="L844" s="315"/>
      <c r="M844" s="82"/>
      <c r="N844" s="89"/>
      <c r="O844" s="89"/>
      <c r="P844" s="275"/>
      <c r="Q844" s="448"/>
      <c r="R844" s="448"/>
      <c r="S844" s="465" t="e">
        <f t="shared" si="156"/>
        <v>#DIV/0!</v>
      </c>
    </row>
    <row r="845" spans="1:19" ht="15.75" customHeight="1">
      <c r="A845" s="106" t="s">
        <v>120</v>
      </c>
      <c r="B845" s="141" t="s">
        <v>299</v>
      </c>
      <c r="C845" s="76" t="s">
        <v>255</v>
      </c>
      <c r="D845" s="76" t="s">
        <v>255</v>
      </c>
      <c r="E845" s="76" t="s">
        <v>431</v>
      </c>
      <c r="F845" s="340" t="s">
        <v>112</v>
      </c>
      <c r="G845" s="158">
        <f>G846</f>
        <v>0</v>
      </c>
      <c r="H845" s="158">
        <f>H846</f>
        <v>0</v>
      </c>
      <c r="I845" s="158">
        <f>I846</f>
        <v>0</v>
      </c>
      <c r="J845" s="158">
        <v>1558.4</v>
      </c>
      <c r="K845" s="294">
        <v>1558.4</v>
      </c>
      <c r="L845" s="315"/>
      <c r="M845" s="82"/>
      <c r="N845" s="89">
        <f>K845+L845+M845</f>
        <v>1558.4</v>
      </c>
      <c r="O845" s="89"/>
      <c r="P845" s="275"/>
      <c r="Q845" s="448">
        <f>N845+O845+P845</f>
        <v>1558.4</v>
      </c>
      <c r="R845" s="448">
        <v>1558.4</v>
      </c>
      <c r="S845" s="444">
        <f t="shared" si="156"/>
        <v>100</v>
      </c>
    </row>
    <row r="846" spans="1:19" ht="12.75" hidden="1">
      <c r="A846" s="106"/>
      <c r="B846" s="71"/>
      <c r="C846" s="76"/>
      <c r="D846" s="76"/>
      <c r="E846" s="76"/>
      <c r="F846" s="340" t="s">
        <v>239</v>
      </c>
      <c r="G846" s="158"/>
      <c r="H846" s="158"/>
      <c r="I846" s="158"/>
      <c r="J846" s="158"/>
      <c r="K846" s="294">
        <f aca="true" t="shared" si="169" ref="K846:K860">G846+J846</f>
        <v>0</v>
      </c>
      <c r="L846" s="315"/>
      <c r="M846" s="82"/>
      <c r="N846" s="89">
        <f aca="true" t="shared" si="170" ref="N846:R860">K846+L846+M846</f>
        <v>0</v>
      </c>
      <c r="O846" s="89">
        <f t="shared" si="170"/>
        <v>0</v>
      </c>
      <c r="P846" s="275">
        <f t="shared" si="170"/>
        <v>0</v>
      </c>
      <c r="Q846" s="448">
        <f t="shared" si="170"/>
        <v>0</v>
      </c>
      <c r="R846" s="448">
        <f t="shared" si="170"/>
        <v>0</v>
      </c>
      <c r="S846" s="444" t="e">
        <f t="shared" si="156"/>
        <v>#DIV/0!</v>
      </c>
    </row>
    <row r="847" spans="1:19" ht="15.75" customHeight="1" thickBot="1">
      <c r="A847" s="213" t="s">
        <v>186</v>
      </c>
      <c r="B847" s="141" t="s">
        <v>299</v>
      </c>
      <c r="C847" s="76" t="s">
        <v>255</v>
      </c>
      <c r="D847" s="76" t="s">
        <v>255</v>
      </c>
      <c r="E847" s="76" t="s">
        <v>434</v>
      </c>
      <c r="F847" s="340" t="s">
        <v>112</v>
      </c>
      <c r="G847" s="158">
        <f>G860</f>
        <v>176.3</v>
      </c>
      <c r="H847" s="158">
        <f>H860</f>
        <v>185.46760000000003</v>
      </c>
      <c r="I847" s="158">
        <f>I860</f>
        <v>194.55551240000003</v>
      </c>
      <c r="J847" s="158"/>
      <c r="K847" s="294">
        <v>176.3</v>
      </c>
      <c r="L847" s="319">
        <v>-3.1</v>
      </c>
      <c r="M847" s="82"/>
      <c r="N847" s="89">
        <f t="shared" si="170"/>
        <v>173.20000000000002</v>
      </c>
      <c r="O847" s="89"/>
      <c r="P847" s="275"/>
      <c r="Q847" s="448">
        <f t="shared" si="170"/>
        <v>173.20000000000002</v>
      </c>
      <c r="R847" s="448">
        <v>173.2</v>
      </c>
      <c r="S847" s="444">
        <f aca="true" t="shared" si="171" ref="S847:S910">R847/Q847*100</f>
        <v>99.99999999999999</v>
      </c>
    </row>
    <row r="848" spans="1:19" ht="13.5" customHeight="1" hidden="1">
      <c r="A848" s="46" t="s">
        <v>224</v>
      </c>
      <c r="B848" s="71" t="s">
        <v>340</v>
      </c>
      <c r="C848" s="76" t="s">
        <v>255</v>
      </c>
      <c r="D848" s="76" t="s">
        <v>255</v>
      </c>
      <c r="E848" s="76" t="s">
        <v>430</v>
      </c>
      <c r="F848" s="78" t="s">
        <v>209</v>
      </c>
      <c r="G848" s="96"/>
      <c r="H848" s="75"/>
      <c r="I848" s="75"/>
      <c r="J848" s="96"/>
      <c r="K848" s="275">
        <f t="shared" si="169"/>
        <v>0</v>
      </c>
      <c r="L848" s="315"/>
      <c r="M848" s="82"/>
      <c r="N848" s="89">
        <f t="shared" si="170"/>
        <v>0</v>
      </c>
      <c r="O848" s="89">
        <f t="shared" si="170"/>
        <v>0</v>
      </c>
      <c r="P848" s="275">
        <f t="shared" si="170"/>
        <v>0</v>
      </c>
      <c r="Q848" s="448">
        <f t="shared" si="170"/>
        <v>0</v>
      </c>
      <c r="R848" s="448">
        <f t="shared" si="170"/>
        <v>0</v>
      </c>
      <c r="S848" s="465" t="e">
        <f t="shared" si="171"/>
        <v>#DIV/0!</v>
      </c>
    </row>
    <row r="849" spans="1:19" ht="13.5" customHeight="1" hidden="1">
      <c r="A849" s="46" t="s">
        <v>226</v>
      </c>
      <c r="B849" s="71" t="s">
        <v>340</v>
      </c>
      <c r="C849" s="76" t="s">
        <v>255</v>
      </c>
      <c r="D849" s="76" t="s">
        <v>255</v>
      </c>
      <c r="E849" s="76" t="s">
        <v>430</v>
      </c>
      <c r="F849" s="78" t="s">
        <v>209</v>
      </c>
      <c r="G849" s="96"/>
      <c r="H849" s="75"/>
      <c r="I849" s="75"/>
      <c r="J849" s="96"/>
      <c r="K849" s="275">
        <f t="shared" si="169"/>
        <v>0</v>
      </c>
      <c r="L849" s="315"/>
      <c r="M849" s="82"/>
      <c r="N849" s="89">
        <f t="shared" si="170"/>
        <v>0</v>
      </c>
      <c r="O849" s="89">
        <f t="shared" si="170"/>
        <v>0</v>
      </c>
      <c r="P849" s="275">
        <f t="shared" si="170"/>
        <v>0</v>
      </c>
      <c r="Q849" s="448">
        <f t="shared" si="170"/>
        <v>0</v>
      </c>
      <c r="R849" s="448">
        <f t="shared" si="170"/>
        <v>0</v>
      </c>
      <c r="S849" s="465" t="e">
        <f t="shared" si="171"/>
        <v>#DIV/0!</v>
      </c>
    </row>
    <row r="850" spans="1:19" ht="13.5" customHeight="1" hidden="1">
      <c r="A850" s="46" t="s">
        <v>386</v>
      </c>
      <c r="B850" s="71" t="s">
        <v>340</v>
      </c>
      <c r="C850" s="76" t="s">
        <v>255</v>
      </c>
      <c r="D850" s="76" t="s">
        <v>255</v>
      </c>
      <c r="E850" s="76" t="s">
        <v>430</v>
      </c>
      <c r="F850" s="78" t="s">
        <v>209</v>
      </c>
      <c r="G850" s="96"/>
      <c r="H850" s="75"/>
      <c r="I850" s="75"/>
      <c r="J850" s="96"/>
      <c r="K850" s="275">
        <f t="shared" si="169"/>
        <v>0</v>
      </c>
      <c r="L850" s="315"/>
      <c r="M850" s="82"/>
      <c r="N850" s="89">
        <f t="shared" si="170"/>
        <v>0</v>
      </c>
      <c r="O850" s="89">
        <f t="shared" si="170"/>
        <v>0</v>
      </c>
      <c r="P850" s="275">
        <f t="shared" si="170"/>
        <v>0</v>
      </c>
      <c r="Q850" s="448">
        <f t="shared" si="170"/>
        <v>0</v>
      </c>
      <c r="R850" s="448">
        <f t="shared" si="170"/>
        <v>0</v>
      </c>
      <c r="S850" s="465" t="e">
        <f t="shared" si="171"/>
        <v>#DIV/0!</v>
      </c>
    </row>
    <row r="851" spans="1:19" ht="13.5" customHeight="1" hidden="1">
      <c r="A851" s="46" t="s">
        <v>228</v>
      </c>
      <c r="B851" s="71" t="s">
        <v>340</v>
      </c>
      <c r="C851" s="76" t="s">
        <v>255</v>
      </c>
      <c r="D851" s="76" t="s">
        <v>255</v>
      </c>
      <c r="E851" s="76" t="s">
        <v>430</v>
      </c>
      <c r="F851" s="78" t="s">
        <v>209</v>
      </c>
      <c r="G851" s="96"/>
      <c r="H851" s="75"/>
      <c r="I851" s="75"/>
      <c r="J851" s="96"/>
      <c r="K851" s="275">
        <f t="shared" si="169"/>
        <v>0</v>
      </c>
      <c r="L851" s="315"/>
      <c r="M851" s="82"/>
      <c r="N851" s="89">
        <f t="shared" si="170"/>
        <v>0</v>
      </c>
      <c r="O851" s="89">
        <f t="shared" si="170"/>
        <v>0</v>
      </c>
      <c r="P851" s="275">
        <f t="shared" si="170"/>
        <v>0</v>
      </c>
      <c r="Q851" s="448">
        <f t="shared" si="170"/>
        <v>0</v>
      </c>
      <c r="R851" s="448">
        <f t="shared" si="170"/>
        <v>0</v>
      </c>
      <c r="S851" s="465" t="e">
        <f t="shared" si="171"/>
        <v>#DIV/0!</v>
      </c>
    </row>
    <row r="852" spans="1:19" ht="13.5" customHeight="1" hidden="1">
      <c r="A852" s="46" t="s">
        <v>229</v>
      </c>
      <c r="B852" s="71" t="s">
        <v>340</v>
      </c>
      <c r="C852" s="76" t="s">
        <v>255</v>
      </c>
      <c r="D852" s="76" t="s">
        <v>255</v>
      </c>
      <c r="E852" s="76" t="s">
        <v>430</v>
      </c>
      <c r="F852" s="78" t="s">
        <v>209</v>
      </c>
      <c r="G852" s="96"/>
      <c r="H852" s="75"/>
      <c r="I852" s="75"/>
      <c r="J852" s="96"/>
      <c r="K852" s="275">
        <f t="shared" si="169"/>
        <v>0</v>
      </c>
      <c r="L852" s="315"/>
      <c r="M852" s="82"/>
      <c r="N852" s="89">
        <f t="shared" si="170"/>
        <v>0</v>
      </c>
      <c r="O852" s="89">
        <f t="shared" si="170"/>
        <v>0</v>
      </c>
      <c r="P852" s="275">
        <f t="shared" si="170"/>
        <v>0</v>
      </c>
      <c r="Q852" s="448">
        <f t="shared" si="170"/>
        <v>0</v>
      </c>
      <c r="R852" s="448">
        <f t="shared" si="170"/>
        <v>0</v>
      </c>
      <c r="S852" s="465" t="e">
        <f t="shared" si="171"/>
        <v>#DIV/0!</v>
      </c>
    </row>
    <row r="853" spans="1:19" ht="13.5" customHeight="1" hidden="1">
      <c r="A853" s="46" t="s">
        <v>435</v>
      </c>
      <c r="B853" s="71" t="s">
        <v>340</v>
      </c>
      <c r="C853" s="76" t="s">
        <v>255</v>
      </c>
      <c r="D853" s="76" t="s">
        <v>255</v>
      </c>
      <c r="E853" s="76" t="s">
        <v>430</v>
      </c>
      <c r="F853" s="78" t="s">
        <v>209</v>
      </c>
      <c r="G853" s="96"/>
      <c r="H853" s="75"/>
      <c r="I853" s="75"/>
      <c r="J853" s="96"/>
      <c r="K853" s="275">
        <f t="shared" si="169"/>
        <v>0</v>
      </c>
      <c r="L853" s="315"/>
      <c r="M853" s="82"/>
      <c r="N853" s="89">
        <f t="shared" si="170"/>
        <v>0</v>
      </c>
      <c r="O853" s="89">
        <f t="shared" si="170"/>
        <v>0</v>
      </c>
      <c r="P853" s="275">
        <f t="shared" si="170"/>
        <v>0</v>
      </c>
      <c r="Q853" s="448">
        <f t="shared" si="170"/>
        <v>0</v>
      </c>
      <c r="R853" s="448">
        <f t="shared" si="170"/>
        <v>0</v>
      </c>
      <c r="S853" s="465" t="e">
        <f t="shared" si="171"/>
        <v>#DIV/0!</v>
      </c>
    </row>
    <row r="854" spans="1:19" ht="13.5" customHeight="1" hidden="1">
      <c r="A854" s="46" t="s">
        <v>436</v>
      </c>
      <c r="B854" s="71" t="s">
        <v>299</v>
      </c>
      <c r="C854" s="72" t="s">
        <v>255</v>
      </c>
      <c r="D854" s="72" t="s">
        <v>255</v>
      </c>
      <c r="E854" s="72" t="s">
        <v>437</v>
      </c>
      <c r="F854" s="74" t="s">
        <v>201</v>
      </c>
      <c r="G854" s="96"/>
      <c r="H854" s="75"/>
      <c r="I854" s="75"/>
      <c r="J854" s="96"/>
      <c r="K854" s="275">
        <f t="shared" si="169"/>
        <v>0</v>
      </c>
      <c r="L854" s="315"/>
      <c r="M854" s="82"/>
      <c r="N854" s="89">
        <f t="shared" si="170"/>
        <v>0</v>
      </c>
      <c r="O854" s="89">
        <f t="shared" si="170"/>
        <v>0</v>
      </c>
      <c r="P854" s="275">
        <f t="shared" si="170"/>
        <v>0</v>
      </c>
      <c r="Q854" s="448">
        <f t="shared" si="170"/>
        <v>0</v>
      </c>
      <c r="R854" s="448">
        <f t="shared" si="170"/>
        <v>0</v>
      </c>
      <c r="S854" s="465" t="e">
        <f t="shared" si="171"/>
        <v>#DIV/0!</v>
      </c>
    </row>
    <row r="855" spans="1:19" ht="13.5" customHeight="1" hidden="1">
      <c r="A855" s="46" t="s">
        <v>438</v>
      </c>
      <c r="B855" s="71" t="s">
        <v>299</v>
      </c>
      <c r="C855" s="76" t="s">
        <v>255</v>
      </c>
      <c r="D855" s="76" t="s">
        <v>255</v>
      </c>
      <c r="E855" s="76" t="s">
        <v>437</v>
      </c>
      <c r="F855" s="78" t="s">
        <v>201</v>
      </c>
      <c r="G855" s="96"/>
      <c r="H855" s="75"/>
      <c r="I855" s="75"/>
      <c r="J855" s="96"/>
      <c r="K855" s="275">
        <f t="shared" si="169"/>
        <v>0</v>
      </c>
      <c r="L855" s="315"/>
      <c r="M855" s="82"/>
      <c r="N855" s="89">
        <f t="shared" si="170"/>
        <v>0</v>
      </c>
      <c r="O855" s="89">
        <f t="shared" si="170"/>
        <v>0</v>
      </c>
      <c r="P855" s="275">
        <f t="shared" si="170"/>
        <v>0</v>
      </c>
      <c r="Q855" s="448">
        <f t="shared" si="170"/>
        <v>0</v>
      </c>
      <c r="R855" s="448">
        <f t="shared" si="170"/>
        <v>0</v>
      </c>
      <c r="S855" s="465" t="e">
        <f t="shared" si="171"/>
        <v>#DIV/0!</v>
      </c>
    </row>
    <row r="856" spans="1:19" ht="13.5" customHeight="1" hidden="1">
      <c r="A856" s="46" t="s">
        <v>398</v>
      </c>
      <c r="B856" s="71" t="s">
        <v>299</v>
      </c>
      <c r="C856" s="76" t="s">
        <v>255</v>
      </c>
      <c r="D856" s="76" t="s">
        <v>255</v>
      </c>
      <c r="E856" s="76" t="s">
        <v>439</v>
      </c>
      <c r="F856" s="78" t="s">
        <v>399</v>
      </c>
      <c r="G856" s="96"/>
      <c r="H856" s="75"/>
      <c r="I856" s="75"/>
      <c r="J856" s="96"/>
      <c r="K856" s="275">
        <f t="shared" si="169"/>
        <v>0</v>
      </c>
      <c r="L856" s="315"/>
      <c r="M856" s="82"/>
      <c r="N856" s="89">
        <f t="shared" si="170"/>
        <v>0</v>
      </c>
      <c r="O856" s="89">
        <f t="shared" si="170"/>
        <v>0</v>
      </c>
      <c r="P856" s="275">
        <f t="shared" si="170"/>
        <v>0</v>
      </c>
      <c r="Q856" s="448">
        <f t="shared" si="170"/>
        <v>0</v>
      </c>
      <c r="R856" s="448">
        <f t="shared" si="170"/>
        <v>0</v>
      </c>
      <c r="S856" s="465" t="e">
        <f t="shared" si="171"/>
        <v>#DIV/0!</v>
      </c>
    </row>
    <row r="857" spans="1:19" ht="13.5" customHeight="1" hidden="1">
      <c r="A857" s="46" t="s">
        <v>228</v>
      </c>
      <c r="B857" s="71" t="s">
        <v>299</v>
      </c>
      <c r="C857" s="76" t="s">
        <v>255</v>
      </c>
      <c r="D857" s="76" t="s">
        <v>255</v>
      </c>
      <c r="E857" s="76" t="s">
        <v>439</v>
      </c>
      <c r="F857" s="78" t="s">
        <v>399</v>
      </c>
      <c r="G857" s="96"/>
      <c r="H857" s="75"/>
      <c r="I857" s="75"/>
      <c r="J857" s="96"/>
      <c r="K857" s="275">
        <f t="shared" si="169"/>
        <v>0</v>
      </c>
      <c r="L857" s="315"/>
      <c r="M857" s="82"/>
      <c r="N857" s="89">
        <f t="shared" si="170"/>
        <v>0</v>
      </c>
      <c r="O857" s="89">
        <f t="shared" si="170"/>
        <v>0</v>
      </c>
      <c r="P857" s="275">
        <f t="shared" si="170"/>
        <v>0</v>
      </c>
      <c r="Q857" s="448">
        <f t="shared" si="170"/>
        <v>0</v>
      </c>
      <c r="R857" s="448">
        <f t="shared" si="170"/>
        <v>0</v>
      </c>
      <c r="S857" s="465" t="e">
        <f t="shared" si="171"/>
        <v>#DIV/0!</v>
      </c>
    </row>
    <row r="858" spans="1:19" ht="13.5" customHeight="1" hidden="1">
      <c r="A858" s="46" t="s">
        <v>440</v>
      </c>
      <c r="B858" s="71" t="s">
        <v>299</v>
      </c>
      <c r="C858" s="76" t="s">
        <v>255</v>
      </c>
      <c r="D858" s="76" t="s">
        <v>255</v>
      </c>
      <c r="E858" s="76" t="s">
        <v>441</v>
      </c>
      <c r="F858" s="78" t="s">
        <v>399</v>
      </c>
      <c r="G858" s="96"/>
      <c r="H858" s="75"/>
      <c r="I858" s="75"/>
      <c r="J858" s="96"/>
      <c r="K858" s="275">
        <f t="shared" si="169"/>
        <v>0</v>
      </c>
      <c r="L858" s="315"/>
      <c r="M858" s="82"/>
      <c r="N858" s="89">
        <f t="shared" si="170"/>
        <v>0</v>
      </c>
      <c r="O858" s="89">
        <f t="shared" si="170"/>
        <v>0</v>
      </c>
      <c r="P858" s="275">
        <f t="shared" si="170"/>
        <v>0</v>
      </c>
      <c r="Q858" s="448">
        <f t="shared" si="170"/>
        <v>0</v>
      </c>
      <c r="R858" s="448">
        <f t="shared" si="170"/>
        <v>0</v>
      </c>
      <c r="S858" s="465" t="e">
        <f t="shared" si="171"/>
        <v>#DIV/0!</v>
      </c>
    </row>
    <row r="859" spans="1:19" ht="13.5" customHeight="1" hidden="1">
      <c r="A859" s="108" t="s">
        <v>442</v>
      </c>
      <c r="B859" s="90" t="s">
        <v>299</v>
      </c>
      <c r="C859" s="91" t="s">
        <v>255</v>
      </c>
      <c r="D859" s="91" t="s">
        <v>255</v>
      </c>
      <c r="E859" s="91" t="s">
        <v>443</v>
      </c>
      <c r="F859" s="93" t="s">
        <v>209</v>
      </c>
      <c r="G859" s="96"/>
      <c r="H859" s="75"/>
      <c r="I859" s="75"/>
      <c r="J859" s="96"/>
      <c r="K859" s="275">
        <f t="shared" si="169"/>
        <v>0</v>
      </c>
      <c r="L859" s="315"/>
      <c r="M859" s="82"/>
      <c r="N859" s="89">
        <f t="shared" si="170"/>
        <v>0</v>
      </c>
      <c r="O859" s="89">
        <f t="shared" si="170"/>
        <v>0</v>
      </c>
      <c r="P859" s="275">
        <f t="shared" si="170"/>
        <v>0</v>
      </c>
      <c r="Q859" s="448">
        <f t="shared" si="170"/>
        <v>0</v>
      </c>
      <c r="R859" s="448">
        <f t="shared" si="170"/>
        <v>0</v>
      </c>
      <c r="S859" s="465" t="e">
        <f t="shared" si="171"/>
        <v>#DIV/0!</v>
      </c>
    </row>
    <row r="860" spans="1:19" ht="0.75" customHeight="1" hidden="1" thickBot="1">
      <c r="A860" s="62"/>
      <c r="B860" s="53"/>
      <c r="C860" s="84"/>
      <c r="D860" s="84"/>
      <c r="E860" s="84"/>
      <c r="F860" s="86" t="s">
        <v>239</v>
      </c>
      <c r="G860" s="94">
        <v>176.3</v>
      </c>
      <c r="H860" s="87">
        <f>G860*1.052</f>
        <v>185.46760000000003</v>
      </c>
      <c r="I860" s="87">
        <f>H860*1.049</f>
        <v>194.55551240000003</v>
      </c>
      <c r="J860" s="94">
        <v>176.3</v>
      </c>
      <c r="K860" s="275">
        <f t="shared" si="169"/>
        <v>352.6</v>
      </c>
      <c r="L860" s="315"/>
      <c r="M860" s="82"/>
      <c r="N860" s="89">
        <f t="shared" si="170"/>
        <v>352.6</v>
      </c>
      <c r="O860" s="89">
        <f t="shared" si="170"/>
        <v>352.6</v>
      </c>
      <c r="P860" s="275">
        <f t="shared" si="170"/>
        <v>705.2</v>
      </c>
      <c r="Q860" s="460">
        <f t="shared" si="170"/>
        <v>1410.4</v>
      </c>
      <c r="R860" s="460">
        <f t="shared" si="170"/>
        <v>2468.2000000000003</v>
      </c>
      <c r="S860" s="496">
        <f t="shared" si="171"/>
        <v>175</v>
      </c>
    </row>
    <row r="861" spans="1:19" ht="16.5" customHeight="1" thickBot="1">
      <c r="A861" s="23" t="s">
        <v>291</v>
      </c>
      <c r="B861" s="24" t="s">
        <v>201</v>
      </c>
      <c r="C861" s="25" t="s">
        <v>255</v>
      </c>
      <c r="D861" s="25" t="s">
        <v>255</v>
      </c>
      <c r="E861" s="25" t="s">
        <v>292</v>
      </c>
      <c r="F861" s="27"/>
      <c r="G861" s="201">
        <f aca="true" t="shared" si="172" ref="G861:N861">G862+G882+G919</f>
        <v>2340</v>
      </c>
      <c r="H861" s="28">
        <f t="shared" si="172"/>
        <v>2610</v>
      </c>
      <c r="I861" s="28">
        <f t="shared" si="172"/>
        <v>2855.3</v>
      </c>
      <c r="J861" s="201">
        <f t="shared" si="172"/>
        <v>0</v>
      </c>
      <c r="K861" s="289">
        <f t="shared" si="172"/>
        <v>2340</v>
      </c>
      <c r="L861" s="289">
        <f t="shared" si="172"/>
        <v>-480</v>
      </c>
      <c r="M861" s="289">
        <f t="shared" si="172"/>
        <v>207.5</v>
      </c>
      <c r="N861" s="289">
        <f t="shared" si="172"/>
        <v>2067.5</v>
      </c>
      <c r="O861" s="289">
        <f>O862+O882+O919</f>
        <v>0</v>
      </c>
      <c r="P861" s="289">
        <f>P862+P882+P919</f>
        <v>0</v>
      </c>
      <c r="Q861" s="482">
        <f>Q862+Q882+Q919</f>
        <v>2067.5</v>
      </c>
      <c r="R861" s="483">
        <f>R862+R882+R919</f>
        <v>1828.5753800000002</v>
      </c>
      <c r="S861" s="484">
        <f t="shared" si="171"/>
        <v>88.44379105199516</v>
      </c>
    </row>
    <row r="862" spans="1:19" ht="25.5">
      <c r="A862" s="65" t="s">
        <v>164</v>
      </c>
      <c r="B862" s="66" t="s">
        <v>201</v>
      </c>
      <c r="C862" s="67" t="s">
        <v>255</v>
      </c>
      <c r="D862" s="67" t="s">
        <v>255</v>
      </c>
      <c r="E862" s="67" t="s">
        <v>444</v>
      </c>
      <c r="F862" s="69"/>
      <c r="G862" s="200">
        <f aca="true" t="shared" si="173" ref="G862:N862">G869+G874+G880</f>
        <v>1660</v>
      </c>
      <c r="H862" s="200">
        <f t="shared" si="173"/>
        <v>1895</v>
      </c>
      <c r="I862" s="200">
        <f t="shared" si="173"/>
        <v>2140</v>
      </c>
      <c r="J862" s="200">
        <f t="shared" si="173"/>
        <v>0</v>
      </c>
      <c r="K862" s="286">
        <f t="shared" si="173"/>
        <v>1660</v>
      </c>
      <c r="L862" s="286">
        <f t="shared" si="173"/>
        <v>0</v>
      </c>
      <c r="M862" s="286">
        <f t="shared" si="173"/>
        <v>0</v>
      </c>
      <c r="N862" s="286">
        <f t="shared" si="173"/>
        <v>1660</v>
      </c>
      <c r="O862" s="286">
        <f>O869+O874+O880</f>
        <v>0</v>
      </c>
      <c r="P862" s="286">
        <f>P869+P874+P880</f>
        <v>0</v>
      </c>
      <c r="Q862" s="480">
        <f>Q869+Q874+Q880</f>
        <v>1660</v>
      </c>
      <c r="R862" s="480">
        <f>R869+R874+R880</f>
        <v>1581.0258000000001</v>
      </c>
      <c r="S862" s="481">
        <f t="shared" si="171"/>
        <v>95.24251807228916</v>
      </c>
    </row>
    <row r="863" spans="1:19" ht="12.75" hidden="1">
      <c r="A863" s="39" t="s">
        <v>208</v>
      </c>
      <c r="B863" s="71" t="s">
        <v>299</v>
      </c>
      <c r="C863" s="76" t="s">
        <v>255</v>
      </c>
      <c r="D863" s="76" t="s">
        <v>255</v>
      </c>
      <c r="E863" s="76" t="s">
        <v>444</v>
      </c>
      <c r="F863" s="78" t="s">
        <v>209</v>
      </c>
      <c r="G863" s="89">
        <f>G864+G865+G866+G867+G868</f>
        <v>0</v>
      </c>
      <c r="H863" s="82">
        <f>H864+H865+H866+H867+H868</f>
        <v>0</v>
      </c>
      <c r="I863" s="82">
        <f>I864+I865+I866+I867+I868</f>
        <v>0</v>
      </c>
      <c r="J863" s="89">
        <f>J864+J865+J866+J867+J868</f>
        <v>0</v>
      </c>
      <c r="K863" s="275">
        <f>K864+K865+K866+K867+K868</f>
        <v>0</v>
      </c>
      <c r="L863" s="315"/>
      <c r="M863" s="82"/>
      <c r="N863" s="89"/>
      <c r="O863" s="89"/>
      <c r="P863" s="275"/>
      <c r="Q863" s="448"/>
      <c r="R863" s="448"/>
      <c r="S863" s="465" t="e">
        <f t="shared" si="171"/>
        <v>#DIV/0!</v>
      </c>
    </row>
    <row r="864" spans="1:19" ht="12.75" hidden="1">
      <c r="A864" s="39"/>
      <c r="B864" s="71"/>
      <c r="C864" s="76"/>
      <c r="D864" s="76"/>
      <c r="E864" s="76"/>
      <c r="F864" s="78" t="s">
        <v>235</v>
      </c>
      <c r="G864" s="89"/>
      <c r="H864" s="82"/>
      <c r="I864" s="82"/>
      <c r="J864" s="89"/>
      <c r="K864" s="275"/>
      <c r="L864" s="315"/>
      <c r="M864" s="82"/>
      <c r="N864" s="89"/>
      <c r="O864" s="89"/>
      <c r="P864" s="275"/>
      <c r="Q864" s="448"/>
      <c r="R864" s="448"/>
      <c r="S864" s="465" t="e">
        <f t="shared" si="171"/>
        <v>#DIV/0!</v>
      </c>
    </row>
    <row r="865" spans="1:19" ht="12.75" hidden="1">
      <c r="A865" s="39"/>
      <c r="B865" s="71"/>
      <c r="C865" s="76"/>
      <c r="D865" s="76"/>
      <c r="E865" s="76"/>
      <c r="F865" s="78" t="s">
        <v>236</v>
      </c>
      <c r="G865" s="89"/>
      <c r="H865" s="82"/>
      <c r="I865" s="82"/>
      <c r="J865" s="89"/>
      <c r="K865" s="275"/>
      <c r="L865" s="315"/>
      <c r="M865" s="82"/>
      <c r="N865" s="89"/>
      <c r="O865" s="89"/>
      <c r="P865" s="275"/>
      <c r="Q865" s="448"/>
      <c r="R865" s="448"/>
      <c r="S865" s="465" t="e">
        <f t="shared" si="171"/>
        <v>#DIV/0!</v>
      </c>
    </row>
    <row r="866" spans="1:19" ht="12.75" hidden="1">
      <c r="A866" s="39"/>
      <c r="B866" s="71"/>
      <c r="C866" s="76"/>
      <c r="D866" s="76"/>
      <c r="E866" s="76"/>
      <c r="F866" s="78" t="s">
        <v>237</v>
      </c>
      <c r="G866" s="89"/>
      <c r="H866" s="82"/>
      <c r="I866" s="82"/>
      <c r="J866" s="89"/>
      <c r="K866" s="275"/>
      <c r="L866" s="315"/>
      <c r="M866" s="82"/>
      <c r="N866" s="89"/>
      <c r="O866" s="89"/>
      <c r="P866" s="275"/>
      <c r="Q866" s="448"/>
      <c r="R866" s="448"/>
      <c r="S866" s="465" t="e">
        <f t="shared" si="171"/>
        <v>#DIV/0!</v>
      </c>
    </row>
    <row r="867" spans="1:19" ht="12.75" hidden="1">
      <c r="A867" s="39"/>
      <c r="B867" s="71"/>
      <c r="C867" s="76"/>
      <c r="D867" s="76"/>
      <c r="E867" s="76"/>
      <c r="F867" s="78" t="s">
        <v>238</v>
      </c>
      <c r="G867" s="89"/>
      <c r="H867" s="82"/>
      <c r="I867" s="82"/>
      <c r="J867" s="89"/>
      <c r="K867" s="275"/>
      <c r="L867" s="315"/>
      <c r="M867" s="82"/>
      <c r="N867" s="89"/>
      <c r="O867" s="89"/>
      <c r="P867" s="275"/>
      <c r="Q867" s="448"/>
      <c r="R867" s="448"/>
      <c r="S867" s="465" t="e">
        <f t="shared" si="171"/>
        <v>#DIV/0!</v>
      </c>
    </row>
    <row r="868" spans="1:19" ht="12.75" hidden="1">
      <c r="A868" s="39"/>
      <c r="B868" s="71"/>
      <c r="C868" s="76"/>
      <c r="D868" s="76"/>
      <c r="E868" s="76"/>
      <c r="F868" s="78" t="s">
        <v>239</v>
      </c>
      <c r="G868" s="89"/>
      <c r="H868" s="82"/>
      <c r="I868" s="82"/>
      <c r="J868" s="89"/>
      <c r="K868" s="275"/>
      <c r="L868" s="315"/>
      <c r="M868" s="82"/>
      <c r="N868" s="89"/>
      <c r="O868" s="89"/>
      <c r="P868" s="275"/>
      <c r="Q868" s="448"/>
      <c r="R868" s="448"/>
      <c r="S868" s="465" t="e">
        <f t="shared" si="171"/>
        <v>#DIV/0!</v>
      </c>
    </row>
    <row r="869" spans="1:19" ht="15.75" customHeight="1">
      <c r="A869" s="106" t="s">
        <v>120</v>
      </c>
      <c r="B869" s="141" t="s">
        <v>299</v>
      </c>
      <c r="C869" s="76" t="s">
        <v>255</v>
      </c>
      <c r="D869" s="76" t="s">
        <v>255</v>
      </c>
      <c r="E869" s="76" t="s">
        <v>444</v>
      </c>
      <c r="F869" s="78" t="s">
        <v>112</v>
      </c>
      <c r="G869" s="89">
        <f>G870+G873</f>
        <v>1300</v>
      </c>
      <c r="H869" s="82">
        <f>H870+H873</f>
        <v>1500</v>
      </c>
      <c r="I869" s="82">
        <f>I870+I873</f>
        <v>1700</v>
      </c>
      <c r="J869" s="89"/>
      <c r="K869" s="275">
        <f>G869+J869</f>
        <v>1300</v>
      </c>
      <c r="L869" s="315"/>
      <c r="M869" s="82"/>
      <c r="N869" s="89">
        <f>K869+L869+M869</f>
        <v>1300</v>
      </c>
      <c r="O869" s="89"/>
      <c r="P869" s="275"/>
      <c r="Q869" s="448">
        <f>N869+O869+P869</f>
        <v>1300</v>
      </c>
      <c r="R869" s="448">
        <v>1299.9978</v>
      </c>
      <c r="S869" s="444">
        <f t="shared" si="171"/>
        <v>99.99983076923078</v>
      </c>
    </row>
    <row r="870" spans="1:19" ht="12.75" hidden="1">
      <c r="A870" s="37"/>
      <c r="B870" s="141"/>
      <c r="C870" s="76"/>
      <c r="D870" s="76"/>
      <c r="E870" s="76"/>
      <c r="F870" s="78" t="s">
        <v>236</v>
      </c>
      <c r="G870" s="89">
        <v>1300</v>
      </c>
      <c r="H870" s="82">
        <v>1500</v>
      </c>
      <c r="I870" s="82">
        <v>1700</v>
      </c>
      <c r="J870" s="89">
        <v>1300</v>
      </c>
      <c r="K870" s="275">
        <f aca="true" t="shared" si="174" ref="K870:K880">G870+J870</f>
        <v>2600</v>
      </c>
      <c r="L870" s="315"/>
      <c r="M870" s="82"/>
      <c r="N870" s="89">
        <f aca="true" t="shared" si="175" ref="N870:R880">K870+L870+M870</f>
        <v>2600</v>
      </c>
      <c r="O870" s="89">
        <f t="shared" si="175"/>
        <v>2600</v>
      </c>
      <c r="P870" s="275">
        <f t="shared" si="175"/>
        <v>5200</v>
      </c>
      <c r="Q870" s="448">
        <f t="shared" si="175"/>
        <v>10400</v>
      </c>
      <c r="R870" s="448">
        <f t="shared" si="175"/>
        <v>18200</v>
      </c>
      <c r="S870" s="444">
        <f t="shared" si="171"/>
        <v>175</v>
      </c>
    </row>
    <row r="871" spans="1:19" ht="12.75" hidden="1">
      <c r="A871" s="37"/>
      <c r="B871" s="141"/>
      <c r="C871" s="76"/>
      <c r="D871" s="76"/>
      <c r="E871" s="76"/>
      <c r="F871" s="78" t="s">
        <v>237</v>
      </c>
      <c r="G871" s="89"/>
      <c r="H871" s="82"/>
      <c r="I871" s="82"/>
      <c r="J871" s="89"/>
      <c r="K871" s="275">
        <f t="shared" si="174"/>
        <v>0</v>
      </c>
      <c r="L871" s="315"/>
      <c r="M871" s="82"/>
      <c r="N871" s="89">
        <f t="shared" si="175"/>
        <v>0</v>
      </c>
      <c r="O871" s="89">
        <f t="shared" si="175"/>
        <v>0</v>
      </c>
      <c r="P871" s="275">
        <f t="shared" si="175"/>
        <v>0</v>
      </c>
      <c r="Q871" s="448">
        <f t="shared" si="175"/>
        <v>0</v>
      </c>
      <c r="R871" s="448">
        <f t="shared" si="175"/>
        <v>0</v>
      </c>
      <c r="S871" s="444" t="e">
        <f t="shared" si="171"/>
        <v>#DIV/0!</v>
      </c>
    </row>
    <row r="872" spans="1:19" ht="12.75" hidden="1">
      <c r="A872" s="37"/>
      <c r="B872" s="141"/>
      <c r="C872" s="76"/>
      <c r="D872" s="76"/>
      <c r="E872" s="76"/>
      <c r="F872" s="78" t="s">
        <v>238</v>
      </c>
      <c r="G872" s="89"/>
      <c r="H872" s="82"/>
      <c r="I872" s="82"/>
      <c r="J872" s="89"/>
      <c r="K872" s="275">
        <f t="shared" si="174"/>
        <v>0</v>
      </c>
      <c r="L872" s="315"/>
      <c r="M872" s="82"/>
      <c r="N872" s="89">
        <f t="shared" si="175"/>
        <v>0</v>
      </c>
      <c r="O872" s="89">
        <f t="shared" si="175"/>
        <v>0</v>
      </c>
      <c r="P872" s="275">
        <f t="shared" si="175"/>
        <v>0</v>
      </c>
      <c r="Q872" s="448">
        <f t="shared" si="175"/>
        <v>0</v>
      </c>
      <c r="R872" s="448">
        <f t="shared" si="175"/>
        <v>0</v>
      </c>
      <c r="S872" s="444" t="e">
        <f t="shared" si="171"/>
        <v>#DIV/0!</v>
      </c>
    </row>
    <row r="873" spans="1:19" ht="12.75" hidden="1">
      <c r="A873" s="37"/>
      <c r="B873" s="141"/>
      <c r="C873" s="76"/>
      <c r="D873" s="76"/>
      <c r="E873" s="76"/>
      <c r="F873" s="78" t="s">
        <v>239</v>
      </c>
      <c r="G873" s="89"/>
      <c r="H873" s="82"/>
      <c r="I873" s="82"/>
      <c r="J873" s="89"/>
      <c r="K873" s="275">
        <f t="shared" si="174"/>
        <v>0</v>
      </c>
      <c r="L873" s="315"/>
      <c r="M873" s="82"/>
      <c r="N873" s="89">
        <f t="shared" si="175"/>
        <v>0</v>
      </c>
      <c r="O873" s="89">
        <f t="shared" si="175"/>
        <v>0</v>
      </c>
      <c r="P873" s="275">
        <f t="shared" si="175"/>
        <v>0</v>
      </c>
      <c r="Q873" s="448">
        <f t="shared" si="175"/>
        <v>0</v>
      </c>
      <c r="R873" s="448">
        <f t="shared" si="175"/>
        <v>0</v>
      </c>
      <c r="S873" s="444" t="e">
        <f t="shared" si="171"/>
        <v>#DIV/0!</v>
      </c>
    </row>
    <row r="874" spans="1:19" ht="15.75" customHeight="1">
      <c r="A874" s="106" t="s">
        <v>120</v>
      </c>
      <c r="B874" s="141" t="s">
        <v>340</v>
      </c>
      <c r="C874" s="76" t="s">
        <v>255</v>
      </c>
      <c r="D874" s="76" t="s">
        <v>255</v>
      </c>
      <c r="E874" s="76" t="s">
        <v>444</v>
      </c>
      <c r="F874" s="78" t="s">
        <v>112</v>
      </c>
      <c r="G874" s="89">
        <f>G875+G876</f>
        <v>90</v>
      </c>
      <c r="H874" s="82">
        <f>H875+H876</f>
        <v>90</v>
      </c>
      <c r="I874" s="82">
        <f>I875+I876</f>
        <v>90</v>
      </c>
      <c r="J874" s="89"/>
      <c r="K874" s="275">
        <f t="shared" si="174"/>
        <v>90</v>
      </c>
      <c r="L874" s="315"/>
      <c r="M874" s="82"/>
      <c r="N874" s="89">
        <f t="shared" si="175"/>
        <v>90</v>
      </c>
      <c r="O874" s="89"/>
      <c r="P874" s="275"/>
      <c r="Q874" s="448">
        <f t="shared" si="175"/>
        <v>90</v>
      </c>
      <c r="R874" s="448">
        <v>90</v>
      </c>
      <c r="S874" s="444">
        <f t="shared" si="171"/>
        <v>100</v>
      </c>
    </row>
    <row r="875" spans="1:19" ht="12.75" hidden="1">
      <c r="A875" s="37"/>
      <c r="B875" s="141"/>
      <c r="C875" s="76"/>
      <c r="D875" s="76"/>
      <c r="E875" s="76"/>
      <c r="F875" s="78" t="s">
        <v>237</v>
      </c>
      <c r="G875" s="89">
        <v>45</v>
      </c>
      <c r="H875" s="82">
        <v>45</v>
      </c>
      <c r="I875" s="82">
        <v>45</v>
      </c>
      <c r="J875" s="89">
        <v>45</v>
      </c>
      <c r="K875" s="275">
        <f t="shared" si="174"/>
        <v>90</v>
      </c>
      <c r="L875" s="315"/>
      <c r="M875" s="82"/>
      <c r="N875" s="89">
        <f t="shared" si="175"/>
        <v>90</v>
      </c>
      <c r="O875" s="89">
        <f t="shared" si="175"/>
        <v>90</v>
      </c>
      <c r="P875" s="275">
        <f t="shared" si="175"/>
        <v>180</v>
      </c>
      <c r="Q875" s="448">
        <f t="shared" si="175"/>
        <v>360</v>
      </c>
      <c r="R875" s="448">
        <f t="shared" si="175"/>
        <v>630</v>
      </c>
      <c r="S875" s="444">
        <f t="shared" si="171"/>
        <v>175</v>
      </c>
    </row>
    <row r="876" spans="1:19" ht="13.5" customHeight="1" hidden="1">
      <c r="A876" s="37"/>
      <c r="B876" s="141"/>
      <c r="C876" s="76"/>
      <c r="D876" s="76"/>
      <c r="E876" s="76"/>
      <c r="F876" s="78" t="s">
        <v>239</v>
      </c>
      <c r="G876" s="89">
        <v>45</v>
      </c>
      <c r="H876" s="82">
        <v>45</v>
      </c>
      <c r="I876" s="82">
        <v>45</v>
      </c>
      <c r="J876" s="89">
        <v>45</v>
      </c>
      <c r="K876" s="275">
        <f t="shared" si="174"/>
        <v>90</v>
      </c>
      <c r="L876" s="315"/>
      <c r="M876" s="82"/>
      <c r="N876" s="89">
        <f t="shared" si="175"/>
        <v>90</v>
      </c>
      <c r="O876" s="89">
        <f t="shared" si="175"/>
        <v>90</v>
      </c>
      <c r="P876" s="275">
        <f t="shared" si="175"/>
        <v>180</v>
      </c>
      <c r="Q876" s="448">
        <f t="shared" si="175"/>
        <v>360</v>
      </c>
      <c r="R876" s="448">
        <f t="shared" si="175"/>
        <v>630</v>
      </c>
      <c r="S876" s="444">
        <f t="shared" si="171"/>
        <v>175</v>
      </c>
    </row>
    <row r="877" spans="1:19" ht="12.75" hidden="1">
      <c r="A877" s="37" t="s">
        <v>208</v>
      </c>
      <c r="B877" s="141" t="s">
        <v>384</v>
      </c>
      <c r="C877" s="76" t="s">
        <v>255</v>
      </c>
      <c r="D877" s="76" t="s">
        <v>255</v>
      </c>
      <c r="E877" s="76" t="s">
        <v>444</v>
      </c>
      <c r="F877" s="78" t="s">
        <v>209</v>
      </c>
      <c r="G877" s="89">
        <f>G878</f>
        <v>0</v>
      </c>
      <c r="H877" s="82">
        <f>H878</f>
        <v>0</v>
      </c>
      <c r="I877" s="82">
        <f>I878</f>
        <v>0</v>
      </c>
      <c r="J877" s="89">
        <f>J878</f>
        <v>0</v>
      </c>
      <c r="K877" s="275">
        <f t="shared" si="174"/>
        <v>0</v>
      </c>
      <c r="L877" s="315"/>
      <c r="M877" s="82"/>
      <c r="N877" s="89">
        <f t="shared" si="175"/>
        <v>0</v>
      </c>
      <c r="O877" s="89">
        <f t="shared" si="175"/>
        <v>0</v>
      </c>
      <c r="P877" s="275">
        <f t="shared" si="175"/>
        <v>0</v>
      </c>
      <c r="Q877" s="448">
        <f t="shared" si="175"/>
        <v>0</v>
      </c>
      <c r="R877" s="448">
        <f t="shared" si="175"/>
        <v>0</v>
      </c>
      <c r="S877" s="444" t="e">
        <f t="shared" si="171"/>
        <v>#DIV/0!</v>
      </c>
    </row>
    <row r="878" spans="1:19" ht="12.75" hidden="1">
      <c r="A878" s="37"/>
      <c r="B878" s="141"/>
      <c r="C878" s="76"/>
      <c r="D878" s="76"/>
      <c r="E878" s="76"/>
      <c r="F878" s="78" t="s">
        <v>236</v>
      </c>
      <c r="G878" s="89"/>
      <c r="H878" s="82"/>
      <c r="I878" s="82"/>
      <c r="J878" s="89"/>
      <c r="K878" s="275">
        <f t="shared" si="174"/>
        <v>0</v>
      </c>
      <c r="L878" s="315"/>
      <c r="M878" s="82"/>
      <c r="N878" s="89">
        <f t="shared" si="175"/>
        <v>0</v>
      </c>
      <c r="O878" s="89">
        <f t="shared" si="175"/>
        <v>0</v>
      </c>
      <c r="P878" s="275">
        <f t="shared" si="175"/>
        <v>0</v>
      </c>
      <c r="Q878" s="448">
        <f t="shared" si="175"/>
        <v>0</v>
      </c>
      <c r="R878" s="448">
        <f t="shared" si="175"/>
        <v>0</v>
      </c>
      <c r="S878" s="444" t="e">
        <f t="shared" si="171"/>
        <v>#DIV/0!</v>
      </c>
    </row>
    <row r="879" spans="1:19" ht="0.75" customHeight="1" hidden="1">
      <c r="A879" s="37" t="s">
        <v>208</v>
      </c>
      <c r="B879" s="141" t="s">
        <v>202</v>
      </c>
      <c r="C879" s="76" t="s">
        <v>255</v>
      </c>
      <c r="D879" s="76" t="s">
        <v>255</v>
      </c>
      <c r="E879" s="76" t="s">
        <v>444</v>
      </c>
      <c r="F879" s="78" t="s">
        <v>209</v>
      </c>
      <c r="G879" s="89">
        <f aca="true" t="shared" si="176" ref="G879:J880">G880</f>
        <v>270</v>
      </c>
      <c r="H879" s="82">
        <f t="shared" si="176"/>
        <v>305</v>
      </c>
      <c r="I879" s="82">
        <f t="shared" si="176"/>
        <v>350</v>
      </c>
      <c r="J879" s="89">
        <f t="shared" si="176"/>
        <v>0</v>
      </c>
      <c r="K879" s="275">
        <f t="shared" si="174"/>
        <v>270</v>
      </c>
      <c r="L879" s="315"/>
      <c r="M879" s="82"/>
      <c r="N879" s="89">
        <f t="shared" si="175"/>
        <v>270</v>
      </c>
      <c r="O879" s="89">
        <f t="shared" si="175"/>
        <v>270</v>
      </c>
      <c r="P879" s="275">
        <f t="shared" si="175"/>
        <v>540</v>
      </c>
      <c r="Q879" s="448">
        <f t="shared" si="175"/>
        <v>1080</v>
      </c>
      <c r="R879" s="448">
        <f t="shared" si="175"/>
        <v>1890</v>
      </c>
      <c r="S879" s="444">
        <f t="shared" si="171"/>
        <v>175</v>
      </c>
    </row>
    <row r="880" spans="1:19" ht="15.75" customHeight="1">
      <c r="A880" s="192" t="s">
        <v>109</v>
      </c>
      <c r="B880" s="141" t="s">
        <v>202</v>
      </c>
      <c r="C880" s="76" t="s">
        <v>255</v>
      </c>
      <c r="D880" s="76" t="s">
        <v>255</v>
      </c>
      <c r="E880" s="76" t="s">
        <v>444</v>
      </c>
      <c r="F880" s="78" t="s">
        <v>106</v>
      </c>
      <c r="G880" s="89">
        <f t="shared" si="176"/>
        <v>270</v>
      </c>
      <c r="H880" s="82">
        <f t="shared" si="176"/>
        <v>305</v>
      </c>
      <c r="I880" s="82">
        <f t="shared" si="176"/>
        <v>350</v>
      </c>
      <c r="J880" s="89"/>
      <c r="K880" s="275">
        <f t="shared" si="174"/>
        <v>270</v>
      </c>
      <c r="L880" s="315"/>
      <c r="M880" s="82"/>
      <c r="N880" s="89">
        <f t="shared" si="175"/>
        <v>270</v>
      </c>
      <c r="O880" s="89"/>
      <c r="P880" s="275"/>
      <c r="Q880" s="448">
        <f t="shared" si="175"/>
        <v>270</v>
      </c>
      <c r="R880" s="448">
        <v>191.028</v>
      </c>
      <c r="S880" s="444">
        <f t="shared" si="171"/>
        <v>70.75111111111111</v>
      </c>
    </row>
    <row r="881" spans="1:19" ht="12.75" hidden="1">
      <c r="A881" s="39"/>
      <c r="B881" s="71"/>
      <c r="C881" s="76"/>
      <c r="D881" s="76"/>
      <c r="E881" s="76"/>
      <c r="F881" s="78" t="s">
        <v>239</v>
      </c>
      <c r="G881" s="89">
        <v>270</v>
      </c>
      <c r="H881" s="82">
        <v>305</v>
      </c>
      <c r="I881" s="82">
        <v>350</v>
      </c>
      <c r="J881" s="89">
        <v>270</v>
      </c>
      <c r="K881" s="275">
        <v>270</v>
      </c>
      <c r="L881" s="315"/>
      <c r="M881" s="82"/>
      <c r="N881" s="89"/>
      <c r="O881" s="89"/>
      <c r="P881" s="275"/>
      <c r="Q881" s="448"/>
      <c r="R881" s="448"/>
      <c r="S881" s="465" t="e">
        <f t="shared" si="171"/>
        <v>#DIV/0!</v>
      </c>
    </row>
    <row r="882" spans="1:19" ht="16.5" customHeight="1">
      <c r="A882" s="39" t="s">
        <v>165</v>
      </c>
      <c r="B882" s="71" t="s">
        <v>340</v>
      </c>
      <c r="C882" s="72" t="s">
        <v>255</v>
      </c>
      <c r="D882" s="72" t="s">
        <v>255</v>
      </c>
      <c r="E882" s="72" t="s">
        <v>445</v>
      </c>
      <c r="F882" s="74"/>
      <c r="G882" s="96">
        <f aca="true" t="shared" si="177" ref="G882:N882">G915</f>
        <v>100</v>
      </c>
      <c r="H882" s="75">
        <f t="shared" si="177"/>
        <v>0</v>
      </c>
      <c r="I882" s="75">
        <f t="shared" si="177"/>
        <v>0</v>
      </c>
      <c r="J882" s="96">
        <f t="shared" si="177"/>
        <v>0</v>
      </c>
      <c r="K882" s="287">
        <f t="shared" si="177"/>
        <v>100</v>
      </c>
      <c r="L882" s="287">
        <f t="shared" si="177"/>
        <v>0</v>
      </c>
      <c r="M882" s="287">
        <f t="shared" si="177"/>
        <v>207.5</v>
      </c>
      <c r="N882" s="287">
        <f t="shared" si="177"/>
        <v>307.5</v>
      </c>
      <c r="O882" s="287">
        <f>O915</f>
        <v>0</v>
      </c>
      <c r="P882" s="287">
        <f>P915</f>
        <v>0</v>
      </c>
      <c r="Q882" s="449">
        <f>Q915</f>
        <v>307.5</v>
      </c>
      <c r="R882" s="449">
        <f>R915</f>
        <v>247.54958</v>
      </c>
      <c r="S882" s="465">
        <f t="shared" si="171"/>
        <v>80.50392845528455</v>
      </c>
    </row>
    <row r="883" spans="1:19" ht="14.25" customHeight="1" hidden="1">
      <c r="A883" s="46" t="s">
        <v>224</v>
      </c>
      <c r="B883" s="71" t="s">
        <v>299</v>
      </c>
      <c r="C883" s="76" t="s">
        <v>255</v>
      </c>
      <c r="D883" s="76" t="s">
        <v>255</v>
      </c>
      <c r="E883" s="76" t="s">
        <v>292</v>
      </c>
      <c r="F883" s="78" t="s">
        <v>209</v>
      </c>
      <c r="G883" s="96"/>
      <c r="H883" s="75"/>
      <c r="I883" s="75"/>
      <c r="J883" s="96"/>
      <c r="K883" s="287"/>
      <c r="L883" s="313"/>
      <c r="M883" s="75"/>
      <c r="N883" s="96"/>
      <c r="O883" s="96"/>
      <c r="P883" s="287"/>
      <c r="Q883" s="449"/>
      <c r="R883" s="449"/>
      <c r="S883" s="465" t="e">
        <f t="shared" si="171"/>
        <v>#DIV/0!</v>
      </c>
    </row>
    <row r="884" spans="1:19" ht="14.25" customHeight="1" hidden="1">
      <c r="A884" s="46" t="s">
        <v>224</v>
      </c>
      <c r="B884" s="71" t="s">
        <v>299</v>
      </c>
      <c r="C884" s="76" t="s">
        <v>255</v>
      </c>
      <c r="D884" s="76" t="s">
        <v>255</v>
      </c>
      <c r="E884" s="76" t="s">
        <v>292</v>
      </c>
      <c r="F884" s="78" t="s">
        <v>209</v>
      </c>
      <c r="G884" s="96" t="e">
        <f>SUM(#REF!)</f>
        <v>#REF!</v>
      </c>
      <c r="H884" s="75" t="e">
        <f>SUM(#REF!)</f>
        <v>#REF!</v>
      </c>
      <c r="I884" s="75" t="e">
        <f>SUM(#REF!)</f>
        <v>#REF!</v>
      </c>
      <c r="J884" s="96" t="e">
        <f>SUM(#REF!)</f>
        <v>#REF!</v>
      </c>
      <c r="K884" s="287" t="e">
        <f>SUM(#REF!)</f>
        <v>#REF!</v>
      </c>
      <c r="L884" s="313"/>
      <c r="M884" s="75"/>
      <c r="N884" s="96"/>
      <c r="O884" s="96"/>
      <c r="P884" s="287"/>
      <c r="Q884" s="449"/>
      <c r="R884" s="449"/>
      <c r="S884" s="465" t="e">
        <f t="shared" si="171"/>
        <v>#DIV/0!</v>
      </c>
    </row>
    <row r="885" spans="1:19" ht="14.25" customHeight="1" hidden="1">
      <c r="A885" s="46"/>
      <c r="B885" s="71" t="s">
        <v>340</v>
      </c>
      <c r="C885" s="76" t="s">
        <v>255</v>
      </c>
      <c r="D885" s="76" t="s">
        <v>255</v>
      </c>
      <c r="E885" s="76" t="s">
        <v>445</v>
      </c>
      <c r="F885" s="78" t="s">
        <v>209</v>
      </c>
      <c r="G885" s="96" t="e">
        <f>SUM(#REF!)</f>
        <v>#REF!</v>
      </c>
      <c r="H885" s="75" t="e">
        <f>SUM(#REF!)</f>
        <v>#REF!</v>
      </c>
      <c r="I885" s="75" t="e">
        <f>SUM(#REF!)</f>
        <v>#REF!</v>
      </c>
      <c r="J885" s="96" t="e">
        <f>SUM(#REF!)</f>
        <v>#REF!</v>
      </c>
      <c r="K885" s="287" t="e">
        <f>SUM(#REF!)</f>
        <v>#REF!</v>
      </c>
      <c r="L885" s="313"/>
      <c r="M885" s="75"/>
      <c r="N885" s="96"/>
      <c r="O885" s="96"/>
      <c r="P885" s="287"/>
      <c r="Q885" s="449"/>
      <c r="R885" s="449"/>
      <c r="S885" s="465" t="e">
        <f t="shared" si="171"/>
        <v>#DIV/0!</v>
      </c>
    </row>
    <row r="886" spans="1:19" ht="14.25" customHeight="1" hidden="1">
      <c r="A886" s="46"/>
      <c r="B886" s="71" t="s">
        <v>340</v>
      </c>
      <c r="C886" s="76" t="s">
        <v>255</v>
      </c>
      <c r="D886" s="76" t="s">
        <v>255</v>
      </c>
      <c r="E886" s="76" t="s">
        <v>444</v>
      </c>
      <c r="F886" s="78" t="s">
        <v>209</v>
      </c>
      <c r="G886" s="96" t="e">
        <f>SUM(#REF!)</f>
        <v>#REF!</v>
      </c>
      <c r="H886" s="75" t="e">
        <f>SUM(#REF!)</f>
        <v>#REF!</v>
      </c>
      <c r="I886" s="75" t="e">
        <f>SUM(#REF!)</f>
        <v>#REF!</v>
      </c>
      <c r="J886" s="96" t="e">
        <f>SUM(#REF!)</f>
        <v>#REF!</v>
      </c>
      <c r="K886" s="287" t="e">
        <f>SUM(#REF!)</f>
        <v>#REF!</v>
      </c>
      <c r="L886" s="313"/>
      <c r="M886" s="75"/>
      <c r="N886" s="96"/>
      <c r="O886" s="96"/>
      <c r="P886" s="287"/>
      <c r="Q886" s="449"/>
      <c r="R886" s="449"/>
      <c r="S886" s="465" t="e">
        <f t="shared" si="171"/>
        <v>#DIV/0!</v>
      </c>
    </row>
    <row r="887" spans="1:19" ht="14.25" customHeight="1" hidden="1">
      <c r="A887" s="46" t="s">
        <v>225</v>
      </c>
      <c r="B887" s="71" t="s">
        <v>299</v>
      </c>
      <c r="C887" s="76" t="s">
        <v>255</v>
      </c>
      <c r="D887" s="76" t="s">
        <v>255</v>
      </c>
      <c r="E887" s="76" t="s">
        <v>444</v>
      </c>
      <c r="F887" s="78" t="s">
        <v>209</v>
      </c>
      <c r="G887" s="96"/>
      <c r="H887" s="75"/>
      <c r="I887" s="75"/>
      <c r="J887" s="96"/>
      <c r="K887" s="287"/>
      <c r="L887" s="313"/>
      <c r="M887" s="75"/>
      <c r="N887" s="96"/>
      <c r="O887" s="96"/>
      <c r="P887" s="287"/>
      <c r="Q887" s="449"/>
      <c r="R887" s="449"/>
      <c r="S887" s="465" t="e">
        <f t="shared" si="171"/>
        <v>#DIV/0!</v>
      </c>
    </row>
    <row r="888" spans="1:19" ht="14.25" customHeight="1" hidden="1">
      <c r="A888" s="46" t="s">
        <v>226</v>
      </c>
      <c r="B888" s="71" t="s">
        <v>299</v>
      </c>
      <c r="C888" s="76" t="s">
        <v>255</v>
      </c>
      <c r="D888" s="76" t="s">
        <v>255</v>
      </c>
      <c r="E888" s="76" t="s">
        <v>292</v>
      </c>
      <c r="F888" s="78" t="s">
        <v>209</v>
      </c>
      <c r="G888" s="96" t="e">
        <f>SUM(#REF!)</f>
        <v>#REF!</v>
      </c>
      <c r="H888" s="75" t="e">
        <f>SUM(#REF!)</f>
        <v>#REF!</v>
      </c>
      <c r="I888" s="75" t="e">
        <f>SUM(#REF!)</f>
        <v>#REF!</v>
      </c>
      <c r="J888" s="96" t="e">
        <f>SUM(#REF!)</f>
        <v>#REF!</v>
      </c>
      <c r="K888" s="287" t="e">
        <f>SUM(#REF!)</f>
        <v>#REF!</v>
      </c>
      <c r="L888" s="313"/>
      <c r="M888" s="75"/>
      <c r="N888" s="96"/>
      <c r="O888" s="96"/>
      <c r="P888" s="287"/>
      <c r="Q888" s="449"/>
      <c r="R888" s="449"/>
      <c r="S888" s="465" t="e">
        <f t="shared" si="171"/>
        <v>#DIV/0!</v>
      </c>
    </row>
    <row r="889" spans="1:19" ht="14.25" customHeight="1" hidden="1">
      <c r="A889" s="46" t="s">
        <v>224</v>
      </c>
      <c r="B889" s="71" t="s">
        <v>340</v>
      </c>
      <c r="C889" s="76" t="s">
        <v>255</v>
      </c>
      <c r="D889" s="76" t="s">
        <v>255</v>
      </c>
      <c r="E889" s="76" t="s">
        <v>292</v>
      </c>
      <c r="F889" s="78" t="s">
        <v>209</v>
      </c>
      <c r="G889" s="96" t="e">
        <f>SUM(#REF!)</f>
        <v>#REF!</v>
      </c>
      <c r="H889" s="75" t="e">
        <f>SUM(#REF!)</f>
        <v>#REF!</v>
      </c>
      <c r="I889" s="75" t="e">
        <f>SUM(#REF!)</f>
        <v>#REF!</v>
      </c>
      <c r="J889" s="96" t="e">
        <f>SUM(#REF!)</f>
        <v>#REF!</v>
      </c>
      <c r="K889" s="287" t="e">
        <f>SUM(#REF!)</f>
        <v>#REF!</v>
      </c>
      <c r="L889" s="313"/>
      <c r="M889" s="75"/>
      <c r="N889" s="96"/>
      <c r="O889" s="96"/>
      <c r="P889" s="287"/>
      <c r="Q889" s="449"/>
      <c r="R889" s="449"/>
      <c r="S889" s="465" t="e">
        <f t="shared" si="171"/>
        <v>#DIV/0!</v>
      </c>
    </row>
    <row r="890" spans="1:19" ht="14.25" customHeight="1" hidden="1">
      <c r="A890" s="46" t="s">
        <v>225</v>
      </c>
      <c r="B890" s="71" t="s">
        <v>299</v>
      </c>
      <c r="C890" s="76" t="s">
        <v>255</v>
      </c>
      <c r="D890" s="76" t="s">
        <v>255</v>
      </c>
      <c r="E890" s="76" t="s">
        <v>292</v>
      </c>
      <c r="F890" s="78" t="s">
        <v>209</v>
      </c>
      <c r="G890" s="96" t="e">
        <f>SUM(#REF!)</f>
        <v>#REF!</v>
      </c>
      <c r="H890" s="75" t="e">
        <f>SUM(#REF!)</f>
        <v>#REF!</v>
      </c>
      <c r="I890" s="75" t="e">
        <f>SUM(#REF!)</f>
        <v>#REF!</v>
      </c>
      <c r="J890" s="96" t="e">
        <f>SUM(#REF!)</f>
        <v>#REF!</v>
      </c>
      <c r="K890" s="287" t="e">
        <f>SUM(#REF!)</f>
        <v>#REF!</v>
      </c>
      <c r="L890" s="313"/>
      <c r="M890" s="75"/>
      <c r="N890" s="96"/>
      <c r="O890" s="96"/>
      <c r="P890" s="287"/>
      <c r="Q890" s="449"/>
      <c r="R890" s="449"/>
      <c r="S890" s="465" t="e">
        <f t="shared" si="171"/>
        <v>#DIV/0!</v>
      </c>
    </row>
    <row r="891" spans="1:19" ht="14.25" customHeight="1" hidden="1">
      <c r="A891" s="46" t="s">
        <v>226</v>
      </c>
      <c r="B891" s="71" t="s">
        <v>340</v>
      </c>
      <c r="C891" s="76" t="s">
        <v>255</v>
      </c>
      <c r="D891" s="76" t="s">
        <v>255</v>
      </c>
      <c r="E891" s="76" t="s">
        <v>444</v>
      </c>
      <c r="F891" s="78" t="s">
        <v>209</v>
      </c>
      <c r="G891" s="96"/>
      <c r="H891" s="75"/>
      <c r="I891" s="75"/>
      <c r="J891" s="96"/>
      <c r="K891" s="287"/>
      <c r="L891" s="313"/>
      <c r="M891" s="75"/>
      <c r="N891" s="96"/>
      <c r="O891" s="96"/>
      <c r="P891" s="287"/>
      <c r="Q891" s="449"/>
      <c r="R891" s="449"/>
      <c r="S891" s="465" t="e">
        <f t="shared" si="171"/>
        <v>#DIV/0!</v>
      </c>
    </row>
    <row r="892" spans="1:19" ht="14.25" customHeight="1" hidden="1">
      <c r="A892" s="46" t="s">
        <v>226</v>
      </c>
      <c r="B892" s="71" t="s">
        <v>284</v>
      </c>
      <c r="C892" s="76" t="s">
        <v>255</v>
      </c>
      <c r="D892" s="76" t="s">
        <v>255</v>
      </c>
      <c r="E892" s="76" t="s">
        <v>292</v>
      </c>
      <c r="F892" s="78" t="s">
        <v>209</v>
      </c>
      <c r="G892" s="96" t="e">
        <f>SUM(#REF!)</f>
        <v>#REF!</v>
      </c>
      <c r="H892" s="75" t="e">
        <f>SUM(#REF!)</f>
        <v>#REF!</v>
      </c>
      <c r="I892" s="75" t="e">
        <f>SUM(#REF!)</f>
        <v>#REF!</v>
      </c>
      <c r="J892" s="96" t="e">
        <f>SUM(#REF!)</f>
        <v>#REF!</v>
      </c>
      <c r="K892" s="287" t="e">
        <f>SUM(#REF!)</f>
        <v>#REF!</v>
      </c>
      <c r="L892" s="313"/>
      <c r="M892" s="75"/>
      <c r="N892" s="96"/>
      <c r="O892" s="96"/>
      <c r="P892" s="287"/>
      <c r="Q892" s="449"/>
      <c r="R892" s="449"/>
      <c r="S892" s="465" t="e">
        <f t="shared" si="171"/>
        <v>#DIV/0!</v>
      </c>
    </row>
    <row r="893" spans="1:19" ht="14.25" customHeight="1" hidden="1">
      <c r="A893" s="46" t="s">
        <v>226</v>
      </c>
      <c r="B893" s="71" t="s">
        <v>446</v>
      </c>
      <c r="C893" s="76" t="s">
        <v>255</v>
      </c>
      <c r="D893" s="76" t="s">
        <v>255</v>
      </c>
      <c r="E893" s="76" t="s">
        <v>292</v>
      </c>
      <c r="F893" s="78" t="s">
        <v>209</v>
      </c>
      <c r="G893" s="96" t="e">
        <f>SUM(#REF!)</f>
        <v>#REF!</v>
      </c>
      <c r="H893" s="75" t="e">
        <f>SUM(#REF!)</f>
        <v>#REF!</v>
      </c>
      <c r="I893" s="75" t="e">
        <f>SUM(#REF!)</f>
        <v>#REF!</v>
      </c>
      <c r="J893" s="96" t="e">
        <f>SUM(#REF!)</f>
        <v>#REF!</v>
      </c>
      <c r="K893" s="287" t="e">
        <f>SUM(#REF!)</f>
        <v>#REF!</v>
      </c>
      <c r="L893" s="313"/>
      <c r="M893" s="75"/>
      <c r="N893" s="96"/>
      <c r="O893" s="96"/>
      <c r="P893" s="287"/>
      <c r="Q893" s="449"/>
      <c r="R893" s="449"/>
      <c r="S893" s="465" t="e">
        <f t="shared" si="171"/>
        <v>#DIV/0!</v>
      </c>
    </row>
    <row r="894" spans="1:19" ht="14.25" customHeight="1" hidden="1">
      <c r="A894" s="46" t="s">
        <v>386</v>
      </c>
      <c r="B894" s="71" t="s">
        <v>447</v>
      </c>
      <c r="C894" s="76" t="s">
        <v>255</v>
      </c>
      <c r="D894" s="76" t="s">
        <v>255</v>
      </c>
      <c r="E894" s="76" t="s">
        <v>292</v>
      </c>
      <c r="F894" s="78" t="s">
        <v>209</v>
      </c>
      <c r="G894" s="96" t="e">
        <f>SUM(#REF!)</f>
        <v>#REF!</v>
      </c>
      <c r="H894" s="75" t="e">
        <f>SUM(#REF!)</f>
        <v>#REF!</v>
      </c>
      <c r="I894" s="75" t="e">
        <f>SUM(#REF!)</f>
        <v>#REF!</v>
      </c>
      <c r="J894" s="96" t="e">
        <f>SUM(#REF!)</f>
        <v>#REF!</v>
      </c>
      <c r="K894" s="287" t="e">
        <f>SUM(#REF!)</f>
        <v>#REF!</v>
      </c>
      <c r="L894" s="313"/>
      <c r="M894" s="75"/>
      <c r="N894" s="96"/>
      <c r="O894" s="96"/>
      <c r="P894" s="287"/>
      <c r="Q894" s="449"/>
      <c r="R894" s="449"/>
      <c r="S894" s="465" t="e">
        <f t="shared" si="171"/>
        <v>#DIV/0!</v>
      </c>
    </row>
    <row r="895" spans="1:19" ht="14.25" customHeight="1" hidden="1">
      <c r="A895" s="46" t="s">
        <v>226</v>
      </c>
      <c r="B895" s="71" t="s">
        <v>299</v>
      </c>
      <c r="C895" s="76" t="s">
        <v>255</v>
      </c>
      <c r="D895" s="76" t="s">
        <v>255</v>
      </c>
      <c r="E895" s="76" t="s">
        <v>444</v>
      </c>
      <c r="F895" s="78" t="s">
        <v>209</v>
      </c>
      <c r="G895" s="96"/>
      <c r="H895" s="75"/>
      <c r="I895" s="75"/>
      <c r="J895" s="96"/>
      <c r="K895" s="287"/>
      <c r="L895" s="313"/>
      <c r="M895" s="75"/>
      <c r="N895" s="96"/>
      <c r="O895" s="96"/>
      <c r="P895" s="287"/>
      <c r="Q895" s="449"/>
      <c r="R895" s="449"/>
      <c r="S895" s="465" t="e">
        <f t="shared" si="171"/>
        <v>#DIV/0!</v>
      </c>
    </row>
    <row r="896" spans="1:19" ht="14.25" customHeight="1" hidden="1">
      <c r="A896" s="46" t="s">
        <v>448</v>
      </c>
      <c r="B896" s="71" t="s">
        <v>202</v>
      </c>
      <c r="C896" s="76" t="s">
        <v>255</v>
      </c>
      <c r="D896" s="76" t="s">
        <v>255</v>
      </c>
      <c r="E896" s="76" t="s">
        <v>444</v>
      </c>
      <c r="F896" s="78" t="s">
        <v>209</v>
      </c>
      <c r="G896" s="96" t="e">
        <f>SUM(#REF!)</f>
        <v>#REF!</v>
      </c>
      <c r="H896" s="75" t="e">
        <f>SUM(#REF!)</f>
        <v>#REF!</v>
      </c>
      <c r="I896" s="75" t="e">
        <f>SUM(#REF!)</f>
        <v>#REF!</v>
      </c>
      <c r="J896" s="96" t="e">
        <f>SUM(#REF!)</f>
        <v>#REF!</v>
      </c>
      <c r="K896" s="287" t="e">
        <f>SUM(#REF!)</f>
        <v>#REF!</v>
      </c>
      <c r="L896" s="313"/>
      <c r="M896" s="75"/>
      <c r="N896" s="96"/>
      <c r="O896" s="96"/>
      <c r="P896" s="287"/>
      <c r="Q896" s="449"/>
      <c r="R896" s="449"/>
      <c r="S896" s="465" t="e">
        <f t="shared" si="171"/>
        <v>#DIV/0!</v>
      </c>
    </row>
    <row r="897" spans="1:19" ht="14.25" customHeight="1" hidden="1">
      <c r="A897" s="46" t="s">
        <v>448</v>
      </c>
      <c r="B897" s="71" t="s">
        <v>384</v>
      </c>
      <c r="C897" s="76" t="s">
        <v>255</v>
      </c>
      <c r="D897" s="76" t="s">
        <v>255</v>
      </c>
      <c r="E897" s="76" t="s">
        <v>444</v>
      </c>
      <c r="F897" s="78" t="s">
        <v>209</v>
      </c>
      <c r="G897" s="96"/>
      <c r="H897" s="75"/>
      <c r="I897" s="75"/>
      <c r="J897" s="96"/>
      <c r="K897" s="287"/>
      <c r="L897" s="313"/>
      <c r="M897" s="75"/>
      <c r="N897" s="96"/>
      <c r="O897" s="96"/>
      <c r="P897" s="287"/>
      <c r="Q897" s="449"/>
      <c r="R897" s="449"/>
      <c r="S897" s="465" t="e">
        <f t="shared" si="171"/>
        <v>#DIV/0!</v>
      </c>
    </row>
    <row r="898" spans="1:19" ht="14.25" customHeight="1" hidden="1">
      <c r="A898" s="46" t="s">
        <v>386</v>
      </c>
      <c r="B898" s="71" t="s">
        <v>340</v>
      </c>
      <c r="C898" s="76" t="s">
        <v>255</v>
      </c>
      <c r="D898" s="76" t="s">
        <v>255</v>
      </c>
      <c r="E898" s="76" t="s">
        <v>292</v>
      </c>
      <c r="F898" s="78" t="s">
        <v>209</v>
      </c>
      <c r="G898" s="96"/>
      <c r="H898" s="75"/>
      <c r="I898" s="75"/>
      <c r="J898" s="96"/>
      <c r="K898" s="287"/>
      <c r="L898" s="313"/>
      <c r="M898" s="75"/>
      <c r="N898" s="96"/>
      <c r="O898" s="96"/>
      <c r="P898" s="287"/>
      <c r="Q898" s="449"/>
      <c r="R898" s="449"/>
      <c r="S898" s="465" t="e">
        <f t="shared" si="171"/>
        <v>#DIV/0!</v>
      </c>
    </row>
    <row r="899" spans="1:19" ht="14.25" customHeight="1" hidden="1">
      <c r="A899" s="46"/>
      <c r="B899" s="71" t="s">
        <v>340</v>
      </c>
      <c r="C899" s="76" t="s">
        <v>255</v>
      </c>
      <c r="D899" s="76" t="s">
        <v>255</v>
      </c>
      <c r="E899" s="76" t="s">
        <v>445</v>
      </c>
      <c r="F899" s="78" t="s">
        <v>209</v>
      </c>
      <c r="G899" s="96"/>
      <c r="H899" s="75"/>
      <c r="I899" s="75"/>
      <c r="J899" s="96"/>
      <c r="K899" s="287"/>
      <c r="L899" s="313"/>
      <c r="M899" s="75"/>
      <c r="N899" s="96"/>
      <c r="O899" s="96"/>
      <c r="P899" s="287"/>
      <c r="Q899" s="449"/>
      <c r="R899" s="449"/>
      <c r="S899" s="465" t="e">
        <f t="shared" si="171"/>
        <v>#DIV/0!</v>
      </c>
    </row>
    <row r="900" spans="1:19" ht="14.25" customHeight="1" hidden="1">
      <c r="A900" s="46"/>
      <c r="B900" s="71" t="s">
        <v>340</v>
      </c>
      <c r="C900" s="76" t="s">
        <v>255</v>
      </c>
      <c r="D900" s="76" t="s">
        <v>255</v>
      </c>
      <c r="E900" s="76" t="s">
        <v>444</v>
      </c>
      <c r="F900" s="78" t="s">
        <v>209</v>
      </c>
      <c r="G900" s="96"/>
      <c r="H900" s="75"/>
      <c r="I900" s="75"/>
      <c r="J900" s="96"/>
      <c r="K900" s="287"/>
      <c r="L900" s="313"/>
      <c r="M900" s="75"/>
      <c r="N900" s="96"/>
      <c r="O900" s="96"/>
      <c r="P900" s="287"/>
      <c r="Q900" s="449"/>
      <c r="R900" s="449"/>
      <c r="S900" s="465" t="e">
        <f t="shared" si="171"/>
        <v>#DIV/0!</v>
      </c>
    </row>
    <row r="901" spans="1:19" ht="14.25" customHeight="1" hidden="1">
      <c r="A901" s="46"/>
      <c r="B901" s="71" t="s">
        <v>299</v>
      </c>
      <c r="C901" s="76" t="s">
        <v>255</v>
      </c>
      <c r="D901" s="76" t="s">
        <v>255</v>
      </c>
      <c r="E901" s="76" t="s">
        <v>444</v>
      </c>
      <c r="F901" s="78" t="s">
        <v>209</v>
      </c>
      <c r="G901" s="96"/>
      <c r="H901" s="75"/>
      <c r="I901" s="75"/>
      <c r="J901" s="96"/>
      <c r="K901" s="287"/>
      <c r="L901" s="313"/>
      <c r="M901" s="75"/>
      <c r="N901" s="96"/>
      <c r="O901" s="96"/>
      <c r="P901" s="287"/>
      <c r="Q901" s="449"/>
      <c r="R901" s="449"/>
      <c r="S901" s="465" t="e">
        <f t="shared" si="171"/>
        <v>#DIV/0!</v>
      </c>
    </row>
    <row r="902" spans="1:19" ht="14.25" customHeight="1" hidden="1">
      <c r="A902" s="46" t="s">
        <v>228</v>
      </c>
      <c r="B902" s="71"/>
      <c r="C902" s="76" t="s">
        <v>255</v>
      </c>
      <c r="D902" s="76" t="s">
        <v>255</v>
      </c>
      <c r="E902" s="76" t="s">
        <v>292</v>
      </c>
      <c r="F902" s="78" t="s">
        <v>209</v>
      </c>
      <c r="G902" s="96">
        <f>SUM(G903:G913)</f>
        <v>0</v>
      </c>
      <c r="H902" s="75">
        <f>SUM(H903:H913)</f>
        <v>0</v>
      </c>
      <c r="I902" s="75">
        <f>SUM(I903:I913)</f>
        <v>0</v>
      </c>
      <c r="J902" s="96">
        <f>SUM(J903:J913)</f>
        <v>0</v>
      </c>
      <c r="K902" s="287">
        <f>SUM(K903:K913)</f>
        <v>0</v>
      </c>
      <c r="L902" s="313"/>
      <c r="M902" s="75"/>
      <c r="N902" s="96"/>
      <c r="O902" s="96"/>
      <c r="P902" s="287"/>
      <c r="Q902" s="449"/>
      <c r="R902" s="449"/>
      <c r="S902" s="465" t="e">
        <f t="shared" si="171"/>
        <v>#DIV/0!</v>
      </c>
    </row>
    <row r="903" spans="1:19" ht="14.25" customHeight="1" hidden="1">
      <c r="A903" s="46" t="s">
        <v>229</v>
      </c>
      <c r="B903" s="71" t="s">
        <v>449</v>
      </c>
      <c r="C903" s="76" t="s">
        <v>255</v>
      </c>
      <c r="D903" s="76" t="s">
        <v>255</v>
      </c>
      <c r="E903" s="76" t="s">
        <v>292</v>
      </c>
      <c r="F903" s="78" t="s">
        <v>209</v>
      </c>
      <c r="G903" s="96"/>
      <c r="H903" s="75"/>
      <c r="I903" s="75"/>
      <c r="J903" s="96"/>
      <c r="K903" s="287"/>
      <c r="L903" s="313"/>
      <c r="M903" s="75"/>
      <c r="N903" s="96"/>
      <c r="O903" s="96"/>
      <c r="P903" s="287"/>
      <c r="Q903" s="449"/>
      <c r="R903" s="449"/>
      <c r="S903" s="465" t="e">
        <f t="shared" si="171"/>
        <v>#DIV/0!</v>
      </c>
    </row>
    <row r="904" spans="1:19" ht="14.25" customHeight="1" hidden="1">
      <c r="A904" s="46" t="s">
        <v>230</v>
      </c>
      <c r="B904" s="71" t="s">
        <v>450</v>
      </c>
      <c r="C904" s="76" t="s">
        <v>255</v>
      </c>
      <c r="D904" s="76" t="s">
        <v>255</v>
      </c>
      <c r="E904" s="76" t="s">
        <v>292</v>
      </c>
      <c r="F904" s="78" t="s">
        <v>209</v>
      </c>
      <c r="G904" s="96"/>
      <c r="H904" s="75"/>
      <c r="I904" s="75"/>
      <c r="J904" s="96"/>
      <c r="K904" s="287"/>
      <c r="L904" s="313"/>
      <c r="M904" s="75"/>
      <c r="N904" s="96"/>
      <c r="O904" s="96"/>
      <c r="P904" s="287"/>
      <c r="Q904" s="449"/>
      <c r="R904" s="449"/>
      <c r="S904" s="465" t="e">
        <f t="shared" si="171"/>
        <v>#DIV/0!</v>
      </c>
    </row>
    <row r="905" spans="1:19" ht="14.25" customHeight="1" hidden="1">
      <c r="A905" s="46" t="s">
        <v>230</v>
      </c>
      <c r="B905" s="71" t="s">
        <v>451</v>
      </c>
      <c r="C905" s="76" t="s">
        <v>255</v>
      </c>
      <c r="D905" s="76" t="s">
        <v>255</v>
      </c>
      <c r="E905" s="76" t="s">
        <v>292</v>
      </c>
      <c r="F905" s="78" t="s">
        <v>209</v>
      </c>
      <c r="G905" s="96"/>
      <c r="H905" s="75"/>
      <c r="I905" s="75"/>
      <c r="J905" s="96"/>
      <c r="K905" s="287"/>
      <c r="L905" s="313"/>
      <c r="M905" s="75"/>
      <c r="N905" s="96"/>
      <c r="O905" s="96"/>
      <c r="P905" s="287"/>
      <c r="Q905" s="449"/>
      <c r="R905" s="449"/>
      <c r="S905" s="465" t="e">
        <f t="shared" si="171"/>
        <v>#DIV/0!</v>
      </c>
    </row>
    <row r="906" spans="1:19" ht="14.25" customHeight="1" hidden="1">
      <c r="A906" s="46" t="s">
        <v>265</v>
      </c>
      <c r="B906" s="71" t="s">
        <v>340</v>
      </c>
      <c r="C906" s="76" t="s">
        <v>255</v>
      </c>
      <c r="D906" s="76" t="s">
        <v>255</v>
      </c>
      <c r="E906" s="76" t="s">
        <v>292</v>
      </c>
      <c r="F906" s="78" t="s">
        <v>209</v>
      </c>
      <c r="G906" s="96"/>
      <c r="H906" s="75"/>
      <c r="I906" s="75"/>
      <c r="J906" s="96"/>
      <c r="K906" s="287"/>
      <c r="L906" s="313"/>
      <c r="M906" s="75"/>
      <c r="N906" s="96"/>
      <c r="O906" s="96"/>
      <c r="P906" s="287"/>
      <c r="Q906" s="449"/>
      <c r="R906" s="449"/>
      <c r="S906" s="465" t="e">
        <f t="shared" si="171"/>
        <v>#DIV/0!</v>
      </c>
    </row>
    <row r="907" spans="1:19" ht="14.25" customHeight="1" hidden="1">
      <c r="A907" s="46"/>
      <c r="B907" s="71" t="s">
        <v>340</v>
      </c>
      <c r="C907" s="76" t="s">
        <v>255</v>
      </c>
      <c r="D907" s="76" t="s">
        <v>255</v>
      </c>
      <c r="E907" s="76" t="s">
        <v>445</v>
      </c>
      <c r="F907" s="78" t="s">
        <v>209</v>
      </c>
      <c r="G907" s="96"/>
      <c r="H907" s="75"/>
      <c r="I907" s="75"/>
      <c r="J907" s="96"/>
      <c r="K907" s="287"/>
      <c r="L907" s="313"/>
      <c r="M907" s="75"/>
      <c r="N907" s="96"/>
      <c r="O907" s="96"/>
      <c r="P907" s="287"/>
      <c r="Q907" s="449"/>
      <c r="R907" s="449"/>
      <c r="S907" s="465" t="e">
        <f t="shared" si="171"/>
        <v>#DIV/0!</v>
      </c>
    </row>
    <row r="908" spans="1:19" ht="14.25" customHeight="1" hidden="1">
      <c r="A908" s="46" t="s">
        <v>229</v>
      </c>
      <c r="B908" s="71" t="s">
        <v>299</v>
      </c>
      <c r="C908" s="76" t="s">
        <v>255</v>
      </c>
      <c r="D908" s="76" t="s">
        <v>255</v>
      </c>
      <c r="E908" s="76" t="s">
        <v>444</v>
      </c>
      <c r="F908" s="78" t="s">
        <v>209</v>
      </c>
      <c r="G908" s="96"/>
      <c r="H908" s="75"/>
      <c r="I908" s="75"/>
      <c r="J908" s="96"/>
      <c r="K908" s="287"/>
      <c r="L908" s="313"/>
      <c r="M908" s="75"/>
      <c r="N908" s="96"/>
      <c r="O908" s="96"/>
      <c r="P908" s="287"/>
      <c r="Q908" s="449"/>
      <c r="R908" s="449"/>
      <c r="S908" s="465" t="e">
        <f t="shared" si="171"/>
        <v>#DIV/0!</v>
      </c>
    </row>
    <row r="909" spans="1:19" ht="14.25" customHeight="1" hidden="1">
      <c r="A909" s="46" t="s">
        <v>230</v>
      </c>
      <c r="B909" s="71" t="s">
        <v>299</v>
      </c>
      <c r="C909" s="76" t="s">
        <v>255</v>
      </c>
      <c r="D909" s="76" t="s">
        <v>255</v>
      </c>
      <c r="E909" s="76" t="s">
        <v>292</v>
      </c>
      <c r="F909" s="78" t="s">
        <v>209</v>
      </c>
      <c r="G909" s="96"/>
      <c r="H909" s="75"/>
      <c r="I909" s="75"/>
      <c r="J909" s="96"/>
      <c r="K909" s="287"/>
      <c r="L909" s="313"/>
      <c r="M909" s="75"/>
      <c r="N909" s="96"/>
      <c r="O909" s="96"/>
      <c r="P909" s="287"/>
      <c r="Q909" s="449"/>
      <c r="R909" s="449"/>
      <c r="S909" s="465" t="e">
        <f t="shared" si="171"/>
        <v>#DIV/0!</v>
      </c>
    </row>
    <row r="910" spans="1:19" ht="14.25" customHeight="1" hidden="1">
      <c r="A910" s="46"/>
      <c r="B910" s="71" t="s">
        <v>340</v>
      </c>
      <c r="C910" s="76" t="s">
        <v>255</v>
      </c>
      <c r="D910" s="76" t="s">
        <v>255</v>
      </c>
      <c r="E910" s="76" t="s">
        <v>445</v>
      </c>
      <c r="F910" s="78" t="s">
        <v>209</v>
      </c>
      <c r="G910" s="96"/>
      <c r="H910" s="75"/>
      <c r="I910" s="75"/>
      <c r="J910" s="96"/>
      <c r="K910" s="287"/>
      <c r="L910" s="313"/>
      <c r="M910" s="75"/>
      <c r="N910" s="96"/>
      <c r="O910" s="96"/>
      <c r="P910" s="287"/>
      <c r="Q910" s="449"/>
      <c r="R910" s="449"/>
      <c r="S910" s="465" t="e">
        <f t="shared" si="171"/>
        <v>#DIV/0!</v>
      </c>
    </row>
    <row r="911" spans="1:19" ht="14.25" customHeight="1" hidden="1">
      <c r="A911" s="46"/>
      <c r="B911" s="71" t="s">
        <v>340</v>
      </c>
      <c r="C911" s="76" t="s">
        <v>255</v>
      </c>
      <c r="D911" s="76" t="s">
        <v>255</v>
      </c>
      <c r="E911" s="76" t="s">
        <v>444</v>
      </c>
      <c r="F911" s="78" t="s">
        <v>209</v>
      </c>
      <c r="G911" s="96"/>
      <c r="H911" s="75"/>
      <c r="I911" s="75"/>
      <c r="J911" s="96"/>
      <c r="K911" s="287"/>
      <c r="L911" s="313"/>
      <c r="M911" s="75"/>
      <c r="N911" s="96"/>
      <c r="O911" s="96"/>
      <c r="P911" s="287"/>
      <c r="Q911" s="449"/>
      <c r="R911" s="449"/>
      <c r="S911" s="465" t="e">
        <f aca="true" t="shared" si="178" ref="S911:S974">R911/Q911*100</f>
        <v>#DIV/0!</v>
      </c>
    </row>
    <row r="912" spans="1:19" ht="14.25" customHeight="1" hidden="1">
      <c r="A912" s="46" t="s">
        <v>230</v>
      </c>
      <c r="B912" s="71" t="s">
        <v>299</v>
      </c>
      <c r="C912" s="76" t="s">
        <v>255</v>
      </c>
      <c r="D912" s="76" t="s">
        <v>255</v>
      </c>
      <c r="E912" s="76" t="s">
        <v>444</v>
      </c>
      <c r="F912" s="78" t="s">
        <v>209</v>
      </c>
      <c r="G912" s="96"/>
      <c r="H912" s="75"/>
      <c r="I912" s="75"/>
      <c r="J912" s="96"/>
      <c r="K912" s="287"/>
      <c r="L912" s="313"/>
      <c r="M912" s="75"/>
      <c r="N912" s="96"/>
      <c r="O912" s="96"/>
      <c r="P912" s="287"/>
      <c r="Q912" s="449"/>
      <c r="R912" s="449"/>
      <c r="S912" s="465" t="e">
        <f t="shared" si="178"/>
        <v>#DIV/0!</v>
      </c>
    </row>
    <row r="913" spans="1:19" ht="14.25" customHeight="1" hidden="1">
      <c r="A913" s="46" t="s">
        <v>230</v>
      </c>
      <c r="B913" s="71" t="s">
        <v>340</v>
      </c>
      <c r="C913" s="76" t="s">
        <v>255</v>
      </c>
      <c r="D913" s="76" t="s">
        <v>255</v>
      </c>
      <c r="E913" s="76" t="s">
        <v>292</v>
      </c>
      <c r="F913" s="78" t="s">
        <v>209</v>
      </c>
      <c r="G913" s="96"/>
      <c r="H913" s="75"/>
      <c r="I913" s="75"/>
      <c r="J913" s="96"/>
      <c r="K913" s="287"/>
      <c r="L913" s="313"/>
      <c r="M913" s="75"/>
      <c r="N913" s="96"/>
      <c r="O913" s="96"/>
      <c r="P913" s="287"/>
      <c r="Q913" s="449"/>
      <c r="R913" s="449"/>
      <c r="S913" s="465" t="e">
        <f t="shared" si="178"/>
        <v>#DIV/0!</v>
      </c>
    </row>
    <row r="914" spans="1:19" ht="14.25" customHeight="1" hidden="1">
      <c r="A914" s="108"/>
      <c r="B914" s="90" t="s">
        <v>340</v>
      </c>
      <c r="C914" s="91" t="s">
        <v>255</v>
      </c>
      <c r="D914" s="91" t="s">
        <v>255</v>
      </c>
      <c r="E914" s="91" t="s">
        <v>445</v>
      </c>
      <c r="F914" s="93" t="s">
        <v>209</v>
      </c>
      <c r="G914" s="96"/>
      <c r="H914" s="75"/>
      <c r="I914" s="75"/>
      <c r="J914" s="96"/>
      <c r="K914" s="287"/>
      <c r="L914" s="313"/>
      <c r="M914" s="75"/>
      <c r="N914" s="96"/>
      <c r="O914" s="96"/>
      <c r="P914" s="287"/>
      <c r="Q914" s="449"/>
      <c r="R914" s="449"/>
      <c r="S914" s="465" t="e">
        <f t="shared" si="178"/>
        <v>#DIV/0!</v>
      </c>
    </row>
    <row r="915" spans="1:19" ht="15.75" customHeight="1">
      <c r="A915" s="106" t="s">
        <v>120</v>
      </c>
      <c r="B915" s="141" t="s">
        <v>340</v>
      </c>
      <c r="C915" s="76" t="s">
        <v>255</v>
      </c>
      <c r="D915" s="76" t="s">
        <v>255</v>
      </c>
      <c r="E915" s="76" t="s">
        <v>445</v>
      </c>
      <c r="F915" s="78" t="s">
        <v>112</v>
      </c>
      <c r="G915" s="89">
        <f>G916+G917+G918</f>
        <v>100</v>
      </c>
      <c r="H915" s="82">
        <f>H916+H917+H918</f>
        <v>0</v>
      </c>
      <c r="I915" s="82">
        <f>I916+I917+I918</f>
        <v>0</v>
      </c>
      <c r="J915" s="89"/>
      <c r="K915" s="275">
        <f>G915+J915</f>
        <v>100</v>
      </c>
      <c r="L915" s="315"/>
      <c r="M915" s="82">
        <v>207.5</v>
      </c>
      <c r="N915" s="89">
        <f>K915+L915+M915</f>
        <v>307.5</v>
      </c>
      <c r="O915" s="89"/>
      <c r="P915" s="275"/>
      <c r="Q915" s="448">
        <f>N915+O915+P915</f>
        <v>307.5</v>
      </c>
      <c r="R915" s="448">
        <v>247.54958</v>
      </c>
      <c r="S915" s="444">
        <f t="shared" si="178"/>
        <v>80.50392845528455</v>
      </c>
    </row>
    <row r="916" spans="1:19" ht="12.75" hidden="1">
      <c r="A916" s="39"/>
      <c r="B916" s="71"/>
      <c r="C916" s="76"/>
      <c r="D916" s="76"/>
      <c r="E916" s="76"/>
      <c r="F916" s="78" t="s">
        <v>236</v>
      </c>
      <c r="G916" s="89"/>
      <c r="H916" s="82"/>
      <c r="I916" s="82"/>
      <c r="J916" s="89"/>
      <c r="K916" s="275"/>
      <c r="L916" s="315"/>
      <c r="M916" s="82"/>
      <c r="N916" s="89"/>
      <c r="O916" s="89"/>
      <c r="P916" s="275"/>
      <c r="Q916" s="448"/>
      <c r="R916" s="448"/>
      <c r="S916" s="465" t="e">
        <f t="shared" si="178"/>
        <v>#DIV/0!</v>
      </c>
    </row>
    <row r="917" spans="1:19" ht="12.75" hidden="1">
      <c r="A917" s="39"/>
      <c r="B917" s="71"/>
      <c r="C917" s="76"/>
      <c r="D917" s="76"/>
      <c r="E917" s="76"/>
      <c r="F917" s="78" t="s">
        <v>237</v>
      </c>
      <c r="G917" s="89">
        <v>100</v>
      </c>
      <c r="H917" s="82"/>
      <c r="I917" s="82"/>
      <c r="J917" s="89">
        <v>100</v>
      </c>
      <c r="K917" s="275">
        <v>100</v>
      </c>
      <c r="L917" s="315"/>
      <c r="M917" s="82"/>
      <c r="N917" s="89"/>
      <c r="O917" s="89"/>
      <c r="P917" s="275"/>
      <c r="Q917" s="448"/>
      <c r="R917" s="448"/>
      <c r="S917" s="465" t="e">
        <f t="shared" si="178"/>
        <v>#DIV/0!</v>
      </c>
    </row>
    <row r="918" spans="1:19" ht="12.75" hidden="1">
      <c r="A918" s="40"/>
      <c r="B918" s="30"/>
      <c r="C918" s="79"/>
      <c r="D918" s="79"/>
      <c r="E918" s="79"/>
      <c r="F918" s="81" t="s">
        <v>239</v>
      </c>
      <c r="G918" s="97"/>
      <c r="H918" s="111"/>
      <c r="I918" s="111"/>
      <c r="J918" s="97"/>
      <c r="K918" s="269"/>
      <c r="L918" s="315"/>
      <c r="M918" s="82"/>
      <c r="N918" s="89"/>
      <c r="O918" s="89"/>
      <c r="P918" s="275"/>
      <c r="Q918" s="448"/>
      <c r="R918" s="448"/>
      <c r="S918" s="465" t="e">
        <f t="shared" si="178"/>
        <v>#DIV/0!</v>
      </c>
    </row>
    <row r="919" spans="1:19" ht="16.5" customHeight="1">
      <c r="A919" s="39" t="s">
        <v>166</v>
      </c>
      <c r="B919" s="71" t="s">
        <v>340</v>
      </c>
      <c r="C919" s="72" t="s">
        <v>255</v>
      </c>
      <c r="D919" s="72" t="s">
        <v>255</v>
      </c>
      <c r="E919" s="72" t="s">
        <v>452</v>
      </c>
      <c r="F919" s="74"/>
      <c r="G919" s="96">
        <f aca="true" t="shared" si="179" ref="G919:N919">G921</f>
        <v>580</v>
      </c>
      <c r="H919" s="96">
        <f t="shared" si="179"/>
        <v>715</v>
      </c>
      <c r="I919" s="96">
        <f t="shared" si="179"/>
        <v>715.3</v>
      </c>
      <c r="J919" s="96">
        <f t="shared" si="179"/>
        <v>0</v>
      </c>
      <c r="K919" s="287">
        <f t="shared" si="179"/>
        <v>580</v>
      </c>
      <c r="L919" s="287">
        <f t="shared" si="179"/>
        <v>-480</v>
      </c>
      <c r="M919" s="287">
        <f t="shared" si="179"/>
        <v>0</v>
      </c>
      <c r="N919" s="287">
        <f t="shared" si="179"/>
        <v>100</v>
      </c>
      <c r="O919" s="287">
        <f>O921</f>
        <v>0</v>
      </c>
      <c r="P919" s="287">
        <f>P921</f>
        <v>0</v>
      </c>
      <c r="Q919" s="449">
        <f>Q921</f>
        <v>100</v>
      </c>
      <c r="R919" s="449">
        <f>R921</f>
        <v>0</v>
      </c>
      <c r="S919" s="465">
        <f t="shared" si="178"/>
        <v>0</v>
      </c>
    </row>
    <row r="920" spans="1:19" ht="12.75" hidden="1">
      <c r="A920" s="37" t="s">
        <v>208</v>
      </c>
      <c r="B920" s="71" t="s">
        <v>340</v>
      </c>
      <c r="C920" s="76" t="s">
        <v>255</v>
      </c>
      <c r="D920" s="76" t="s">
        <v>255</v>
      </c>
      <c r="E920" s="156" t="s">
        <v>452</v>
      </c>
      <c r="F920" s="78" t="s">
        <v>209</v>
      </c>
      <c r="G920" s="89">
        <f>G921</f>
        <v>580</v>
      </c>
      <c r="H920" s="82">
        <f>H921</f>
        <v>715</v>
      </c>
      <c r="I920" s="82">
        <f>I921</f>
        <v>715.3</v>
      </c>
      <c r="J920" s="89">
        <f>J921</f>
        <v>0</v>
      </c>
      <c r="K920" s="275">
        <f>K921</f>
        <v>580</v>
      </c>
      <c r="L920" s="315"/>
      <c r="M920" s="82"/>
      <c r="N920" s="89"/>
      <c r="O920" s="89"/>
      <c r="P920" s="275"/>
      <c r="Q920" s="448"/>
      <c r="R920" s="448"/>
      <c r="S920" s="465" t="e">
        <f t="shared" si="178"/>
        <v>#DIV/0!</v>
      </c>
    </row>
    <row r="921" spans="1:19" ht="15.75" customHeight="1" thickBot="1">
      <c r="A921" s="213" t="s">
        <v>492</v>
      </c>
      <c r="B921" s="220" t="s">
        <v>340</v>
      </c>
      <c r="C921" s="79" t="s">
        <v>255</v>
      </c>
      <c r="D921" s="79" t="s">
        <v>255</v>
      </c>
      <c r="E921" s="155" t="s">
        <v>452</v>
      </c>
      <c r="F921" s="86" t="s">
        <v>238</v>
      </c>
      <c r="G921" s="206">
        <v>580</v>
      </c>
      <c r="H921" s="143">
        <v>715</v>
      </c>
      <c r="I921" s="143">
        <v>715.3</v>
      </c>
      <c r="J921" s="206"/>
      <c r="K921" s="273">
        <f>G921+J921</f>
        <v>580</v>
      </c>
      <c r="L921" s="315">
        <v>-480</v>
      </c>
      <c r="M921" s="82"/>
      <c r="N921" s="89">
        <f>K921+L921+M921</f>
        <v>100</v>
      </c>
      <c r="O921" s="89"/>
      <c r="P921" s="275"/>
      <c r="Q921" s="460">
        <f>N921+O921+P921</f>
        <v>100</v>
      </c>
      <c r="R921" s="460">
        <v>0</v>
      </c>
      <c r="S921" s="491">
        <f t="shared" si="178"/>
        <v>0</v>
      </c>
    </row>
    <row r="922" spans="1:19" ht="16.5" customHeight="1" thickBot="1">
      <c r="A922" s="17" t="s">
        <v>453</v>
      </c>
      <c r="B922" s="18" t="s">
        <v>299</v>
      </c>
      <c r="C922" s="19" t="s">
        <v>255</v>
      </c>
      <c r="D922" s="19" t="s">
        <v>454</v>
      </c>
      <c r="E922" s="19"/>
      <c r="F922" s="21"/>
      <c r="G922" s="199">
        <f aca="true" t="shared" si="180" ref="G922:N922">G923+G952+G974+G965+G970+G939</f>
        <v>22161.32</v>
      </c>
      <c r="H922" s="199">
        <f t="shared" si="180"/>
        <v>21580.81692</v>
      </c>
      <c r="I922" s="199">
        <f t="shared" si="180"/>
        <v>19881.019959376</v>
      </c>
      <c r="J922" s="199">
        <f t="shared" si="180"/>
        <v>6354.25016</v>
      </c>
      <c r="K922" s="285">
        <f t="shared" si="180"/>
        <v>28515.570160000003</v>
      </c>
      <c r="L922" s="285">
        <f t="shared" si="180"/>
        <v>-22</v>
      </c>
      <c r="M922" s="285">
        <f t="shared" si="180"/>
        <v>433.14131</v>
      </c>
      <c r="N922" s="285">
        <f t="shared" si="180"/>
        <v>28926.711470000002</v>
      </c>
      <c r="O922" s="285">
        <f>O923+O952+O974+O965+O970+O939</f>
        <v>-374.5653</v>
      </c>
      <c r="P922" s="285">
        <f>P923+P952+P974+P965+P970+P939</f>
        <v>0</v>
      </c>
      <c r="Q922" s="492">
        <f>Q923+Q952+Q974+Q965+Q970+Q939</f>
        <v>28552.14617</v>
      </c>
      <c r="R922" s="493">
        <f>R923+R952+R974+R965+R970+R939</f>
        <v>27410.222929999996</v>
      </c>
      <c r="S922" s="484">
        <f t="shared" si="178"/>
        <v>96.00056950815195</v>
      </c>
    </row>
    <row r="923" spans="1:19" ht="38.25">
      <c r="A923" s="65" t="s">
        <v>241</v>
      </c>
      <c r="B923" s="66" t="s">
        <v>299</v>
      </c>
      <c r="C923" s="67" t="s">
        <v>255</v>
      </c>
      <c r="D923" s="67" t="s">
        <v>454</v>
      </c>
      <c r="E923" s="67" t="s">
        <v>205</v>
      </c>
      <c r="F923" s="69"/>
      <c r="G923" s="200">
        <f aca="true" t="shared" si="181" ref="G923:R923">G924</f>
        <v>3536.64</v>
      </c>
      <c r="H923" s="70">
        <f t="shared" si="181"/>
        <v>3358.8100000000004</v>
      </c>
      <c r="I923" s="70">
        <f t="shared" si="181"/>
        <v>3505.2889575</v>
      </c>
      <c r="J923" s="200">
        <f t="shared" si="181"/>
        <v>3245.5346499999996</v>
      </c>
      <c r="K923" s="286">
        <f t="shared" si="181"/>
        <v>6782.174650000001</v>
      </c>
      <c r="L923" s="286">
        <f t="shared" si="181"/>
        <v>0</v>
      </c>
      <c r="M923" s="286">
        <f t="shared" si="181"/>
        <v>38.005</v>
      </c>
      <c r="N923" s="286">
        <f t="shared" si="181"/>
        <v>6820.17965</v>
      </c>
      <c r="O923" s="286">
        <f t="shared" si="181"/>
        <v>-1334.27452</v>
      </c>
      <c r="P923" s="286">
        <f t="shared" si="181"/>
        <v>0</v>
      </c>
      <c r="Q923" s="471">
        <f t="shared" si="181"/>
        <v>5485.90513</v>
      </c>
      <c r="R923" s="472">
        <f t="shared" si="181"/>
        <v>4416.80995</v>
      </c>
      <c r="S923" s="473">
        <f t="shared" si="178"/>
        <v>80.51196375683587</v>
      </c>
    </row>
    <row r="924" spans="1:19" ht="16.5" customHeight="1">
      <c r="A924" s="109" t="s">
        <v>220</v>
      </c>
      <c r="B924" s="99" t="s">
        <v>299</v>
      </c>
      <c r="C924" s="112" t="s">
        <v>255</v>
      </c>
      <c r="D924" s="112" t="s">
        <v>454</v>
      </c>
      <c r="E924" s="112" t="s">
        <v>221</v>
      </c>
      <c r="F924" s="104"/>
      <c r="G924" s="88">
        <f aca="true" t="shared" si="182" ref="G924:N924">G925+G929+G936</f>
        <v>3536.64</v>
      </c>
      <c r="H924" s="88">
        <f t="shared" si="182"/>
        <v>3358.8100000000004</v>
      </c>
      <c r="I924" s="88">
        <f t="shared" si="182"/>
        <v>3505.2889575</v>
      </c>
      <c r="J924" s="88">
        <f t="shared" si="182"/>
        <v>3245.5346499999996</v>
      </c>
      <c r="K924" s="290">
        <f t="shared" si="182"/>
        <v>6782.174650000001</v>
      </c>
      <c r="L924" s="290">
        <f t="shared" si="182"/>
        <v>0</v>
      </c>
      <c r="M924" s="290">
        <f t="shared" si="182"/>
        <v>38.005</v>
      </c>
      <c r="N924" s="290">
        <f t="shared" si="182"/>
        <v>6820.17965</v>
      </c>
      <c r="O924" s="290">
        <f>O925+O929+O936</f>
        <v>-1334.27452</v>
      </c>
      <c r="P924" s="290">
        <f>P925+P929+P936</f>
        <v>0</v>
      </c>
      <c r="Q924" s="474">
        <f>Q925+Q929+Q936</f>
        <v>5485.90513</v>
      </c>
      <c r="R924" s="449">
        <f>R925+R929+R936</f>
        <v>4416.80995</v>
      </c>
      <c r="S924" s="465">
        <f t="shared" si="178"/>
        <v>80.51196375683587</v>
      </c>
    </row>
    <row r="925" spans="1:19" ht="15.75" customHeight="1">
      <c r="A925" s="192" t="s">
        <v>108</v>
      </c>
      <c r="B925" s="141" t="s">
        <v>299</v>
      </c>
      <c r="C925" s="76" t="s">
        <v>255</v>
      </c>
      <c r="D925" s="76" t="s">
        <v>454</v>
      </c>
      <c r="E925" s="76" t="s">
        <v>221</v>
      </c>
      <c r="F925" s="81" t="s">
        <v>105</v>
      </c>
      <c r="G925" s="89">
        <f aca="true" t="shared" si="183" ref="G925:N925">G926+G927+G928</f>
        <v>3394.56</v>
      </c>
      <c r="H925" s="82">
        <f t="shared" si="183"/>
        <v>3217.76</v>
      </c>
      <c r="I925" s="82">
        <f t="shared" si="183"/>
        <v>3359.2</v>
      </c>
      <c r="J925" s="89">
        <f t="shared" si="183"/>
        <v>753.42881</v>
      </c>
      <c r="K925" s="275">
        <f t="shared" si="183"/>
        <v>4147.98881</v>
      </c>
      <c r="L925" s="275">
        <f t="shared" si="183"/>
        <v>-0.2</v>
      </c>
      <c r="M925" s="275">
        <f t="shared" si="183"/>
        <v>38.005</v>
      </c>
      <c r="N925" s="275">
        <f t="shared" si="183"/>
        <v>4185.79381</v>
      </c>
      <c r="O925" s="275">
        <f>O926+O927+O928</f>
        <v>0</v>
      </c>
      <c r="P925" s="275">
        <f>P926+P927+P928</f>
        <v>0</v>
      </c>
      <c r="Q925" s="487">
        <v>4151.1007</v>
      </c>
      <c r="R925" s="448">
        <v>4148.84603</v>
      </c>
      <c r="S925" s="444">
        <f t="shared" si="178"/>
        <v>99.94568500831598</v>
      </c>
    </row>
    <row r="926" spans="1:19" ht="12.75" hidden="1">
      <c r="A926" s="29"/>
      <c r="B926" s="220"/>
      <c r="C926" s="79"/>
      <c r="D926" s="79"/>
      <c r="E926" s="79"/>
      <c r="F926" s="81" t="s">
        <v>215</v>
      </c>
      <c r="G926" s="89">
        <v>2635.39407</v>
      </c>
      <c r="H926" s="82">
        <f>2713*0.91</f>
        <v>2468.83</v>
      </c>
      <c r="I926" s="82">
        <f>2713*0.95</f>
        <v>2577.35</v>
      </c>
      <c r="J926" s="89">
        <v>548.92913</v>
      </c>
      <c r="K926" s="275">
        <v>3184.3232</v>
      </c>
      <c r="L926" s="315"/>
      <c r="M926" s="82">
        <v>29.19</v>
      </c>
      <c r="N926" s="89">
        <f>K926+L926+M926</f>
        <v>3213.5132</v>
      </c>
      <c r="O926" s="380">
        <v>124.29198</v>
      </c>
      <c r="P926" s="275"/>
      <c r="Q926" s="487">
        <v>3228.107</v>
      </c>
      <c r="R926" s="448">
        <v>3228.107</v>
      </c>
      <c r="S926" s="444">
        <f t="shared" si="178"/>
        <v>100</v>
      </c>
    </row>
    <row r="927" spans="1:19" ht="12.75" hidden="1">
      <c r="A927" s="46"/>
      <c r="B927" s="141"/>
      <c r="C927" s="76"/>
      <c r="D927" s="76"/>
      <c r="E927" s="76"/>
      <c r="F927" s="78" t="s">
        <v>216</v>
      </c>
      <c r="G927" s="89">
        <v>0</v>
      </c>
      <c r="H927" s="82">
        <f>3*0.91</f>
        <v>2.73</v>
      </c>
      <c r="I927" s="82">
        <f>3*0.95</f>
        <v>2.8499999999999996</v>
      </c>
      <c r="J927" s="89">
        <v>2</v>
      </c>
      <c r="K927" s="275">
        <v>2</v>
      </c>
      <c r="L927" s="315">
        <v>-0.2</v>
      </c>
      <c r="M927" s="82"/>
      <c r="N927" s="89">
        <f>K927+L927+M927</f>
        <v>1.8</v>
      </c>
      <c r="O927" s="380"/>
      <c r="P927" s="275"/>
      <c r="Q927" s="487">
        <f>N927+O927+P927</f>
        <v>1.8</v>
      </c>
      <c r="R927" s="448">
        <f>O927+P927+Q927</f>
        <v>1.8</v>
      </c>
      <c r="S927" s="444">
        <f t="shared" si="178"/>
        <v>100</v>
      </c>
    </row>
    <row r="928" spans="1:19" ht="12.75" hidden="1">
      <c r="A928" s="29"/>
      <c r="B928" s="220"/>
      <c r="C928" s="79"/>
      <c r="D928" s="79"/>
      <c r="E928" s="79"/>
      <c r="F928" s="81" t="s">
        <v>217</v>
      </c>
      <c r="G928" s="89">
        <v>759.16593</v>
      </c>
      <c r="H928" s="82">
        <f>820*0.91</f>
        <v>746.2</v>
      </c>
      <c r="I928" s="82">
        <f>820*0.95</f>
        <v>779</v>
      </c>
      <c r="J928" s="89">
        <v>202.49968</v>
      </c>
      <c r="K928" s="275">
        <v>961.66561</v>
      </c>
      <c r="L928" s="315"/>
      <c r="M928" s="82">
        <v>8.815</v>
      </c>
      <c r="N928" s="89">
        <f>K928+L928+M928</f>
        <v>970.4806100000001</v>
      </c>
      <c r="O928" s="380">
        <v>-124.29198</v>
      </c>
      <c r="P928" s="275"/>
      <c r="Q928" s="487">
        <f>N928+O928+P928</f>
        <v>846.1886300000001</v>
      </c>
      <c r="R928" s="448">
        <f>O928+P928+Q928</f>
        <v>721.8966500000001</v>
      </c>
      <c r="S928" s="444">
        <f t="shared" si="178"/>
        <v>85.3115516335879</v>
      </c>
    </row>
    <row r="929" spans="1:19" ht="15.75" customHeight="1">
      <c r="A929" s="181" t="s">
        <v>109</v>
      </c>
      <c r="B929" s="141" t="s">
        <v>299</v>
      </c>
      <c r="C929" s="76" t="s">
        <v>255</v>
      </c>
      <c r="D929" s="76" t="s">
        <v>454</v>
      </c>
      <c r="E929" s="76" t="s">
        <v>221</v>
      </c>
      <c r="F929" s="78" t="s">
        <v>106</v>
      </c>
      <c r="G929" s="89">
        <f>G931+G932+G933+G934+G937+G938</f>
        <v>36.48</v>
      </c>
      <c r="H929" s="82">
        <f>H931+H932+H933+H934+H937+H938</f>
        <v>36.4</v>
      </c>
      <c r="I929" s="82">
        <f>I931+I932+I933+I934+I937+I938</f>
        <v>41.800000000000004</v>
      </c>
      <c r="J929" s="89">
        <f>J931+J932+J933+J934+J937+J938</f>
        <v>2372.1058399999997</v>
      </c>
      <c r="K929" s="275">
        <f aca="true" t="shared" si="184" ref="K929:P929">K931+K932+K933+K934+K937+K938+K930</f>
        <v>2408.58584</v>
      </c>
      <c r="L929" s="275">
        <f t="shared" si="184"/>
        <v>0.2</v>
      </c>
      <c r="M929" s="275">
        <f t="shared" si="184"/>
        <v>0</v>
      </c>
      <c r="N929" s="275">
        <f t="shared" si="184"/>
        <v>2408.78584</v>
      </c>
      <c r="O929" s="275">
        <f t="shared" si="184"/>
        <v>-1334.27452</v>
      </c>
      <c r="P929" s="275">
        <f t="shared" si="184"/>
        <v>0</v>
      </c>
      <c r="Q929" s="487">
        <v>1109.20443</v>
      </c>
      <c r="R929" s="448">
        <v>72.66097</v>
      </c>
      <c r="S929" s="444">
        <f t="shared" si="178"/>
        <v>6.550728435154195</v>
      </c>
    </row>
    <row r="930" spans="1:19" ht="12.75" hidden="1">
      <c r="A930" s="181"/>
      <c r="B930" s="141"/>
      <c r="C930" s="76"/>
      <c r="D930" s="76"/>
      <c r="E930" s="76"/>
      <c r="F930" s="78" t="s">
        <v>216</v>
      </c>
      <c r="G930" s="89"/>
      <c r="H930" s="82"/>
      <c r="I930" s="82"/>
      <c r="J930" s="89"/>
      <c r="K930" s="275"/>
      <c r="L930" s="275">
        <v>0.2</v>
      </c>
      <c r="M930" s="275"/>
      <c r="N930" s="275">
        <f aca="true" t="shared" si="185" ref="N930:R935">K930+L930+M930</f>
        <v>0.2</v>
      </c>
      <c r="O930" s="275"/>
      <c r="P930" s="275"/>
      <c r="Q930" s="487">
        <f t="shared" si="185"/>
        <v>0.2</v>
      </c>
      <c r="R930" s="448">
        <f t="shared" si="185"/>
        <v>0.2</v>
      </c>
      <c r="S930" s="444">
        <f t="shared" si="178"/>
        <v>100</v>
      </c>
    </row>
    <row r="931" spans="1:19" ht="12.75" hidden="1">
      <c r="A931" s="46"/>
      <c r="B931" s="141"/>
      <c r="C931" s="76"/>
      <c r="D931" s="76"/>
      <c r="E931" s="76"/>
      <c r="F931" s="78" t="s">
        <v>233</v>
      </c>
      <c r="G931" s="89">
        <v>13.77473</v>
      </c>
      <c r="H931" s="82">
        <f>10*0.91</f>
        <v>9.1</v>
      </c>
      <c r="I931" s="82">
        <f>11*0.95</f>
        <v>10.45</v>
      </c>
      <c r="J931" s="89">
        <v>-2.29851</v>
      </c>
      <c r="K931" s="275">
        <v>11.47622</v>
      </c>
      <c r="L931" s="315"/>
      <c r="M931" s="82"/>
      <c r="N931" s="89">
        <f t="shared" si="185"/>
        <v>11.47622</v>
      </c>
      <c r="O931" s="89">
        <v>3.51392</v>
      </c>
      <c r="P931" s="275"/>
      <c r="Q931" s="487">
        <f t="shared" si="185"/>
        <v>14.99014</v>
      </c>
      <c r="R931" s="448">
        <f t="shared" si="185"/>
        <v>18.50406</v>
      </c>
      <c r="S931" s="444">
        <f t="shared" si="178"/>
        <v>123.44154224043271</v>
      </c>
    </row>
    <row r="932" spans="1:19" ht="12.75" hidden="1">
      <c r="A932" s="29"/>
      <c r="B932" s="220"/>
      <c r="C932" s="79"/>
      <c r="D932" s="79"/>
      <c r="E932" s="79"/>
      <c r="F932" s="81" t="s">
        <v>234</v>
      </c>
      <c r="G932" s="89">
        <v>2</v>
      </c>
      <c r="H932" s="82">
        <f>8*0.91</f>
        <v>7.28</v>
      </c>
      <c r="I932" s="82">
        <f>9*0.95</f>
        <v>8.549999999999999</v>
      </c>
      <c r="J932" s="89"/>
      <c r="K932" s="275">
        <v>2</v>
      </c>
      <c r="L932" s="315"/>
      <c r="M932" s="82"/>
      <c r="N932" s="89">
        <f t="shared" si="185"/>
        <v>2</v>
      </c>
      <c r="O932" s="89"/>
      <c r="P932" s="275"/>
      <c r="Q932" s="487">
        <f t="shared" si="185"/>
        <v>2</v>
      </c>
      <c r="R932" s="448">
        <f t="shared" si="185"/>
        <v>2</v>
      </c>
      <c r="S932" s="444">
        <f t="shared" si="178"/>
        <v>100</v>
      </c>
    </row>
    <row r="933" spans="1:19" ht="12.75" hidden="1">
      <c r="A933" s="46"/>
      <c r="B933" s="141"/>
      <c r="C933" s="76"/>
      <c r="D933" s="76"/>
      <c r="E933" s="76"/>
      <c r="F933" s="78" t="s">
        <v>236</v>
      </c>
      <c r="G933" s="89"/>
      <c r="H933" s="82">
        <f>7*0.91</f>
        <v>6.37</v>
      </c>
      <c r="I933" s="82">
        <f>8*0.95</f>
        <v>7.6</v>
      </c>
      <c r="J933" s="89"/>
      <c r="K933" s="275">
        <f>G933+J933</f>
        <v>0</v>
      </c>
      <c r="L933" s="315"/>
      <c r="M933" s="82"/>
      <c r="N933" s="89">
        <f t="shared" si="185"/>
        <v>0</v>
      </c>
      <c r="O933" s="89">
        <f>21.51392-20</f>
        <v>1.5139199999999988</v>
      </c>
      <c r="P933" s="275"/>
      <c r="Q933" s="487">
        <f t="shared" si="185"/>
        <v>1.5139199999999988</v>
      </c>
      <c r="R933" s="448">
        <f t="shared" si="185"/>
        <v>3.0278399999999976</v>
      </c>
      <c r="S933" s="444">
        <f t="shared" si="178"/>
        <v>200</v>
      </c>
    </row>
    <row r="934" spans="1:19" ht="12.75" hidden="1">
      <c r="A934" s="29"/>
      <c r="B934" s="220"/>
      <c r="C934" s="79"/>
      <c r="D934" s="79"/>
      <c r="E934" s="79"/>
      <c r="F934" s="81" t="s">
        <v>236</v>
      </c>
      <c r="G934" s="89">
        <v>20.70527</v>
      </c>
      <c r="H934" s="82">
        <f>3*0.91</f>
        <v>2.73</v>
      </c>
      <c r="I934" s="82">
        <f>3*0.95</f>
        <v>2.8499999999999996</v>
      </c>
      <c r="J934" s="89">
        <v>2351.40435</v>
      </c>
      <c r="K934" s="275">
        <v>2372.10962</v>
      </c>
      <c r="L934" s="315"/>
      <c r="M934" s="82"/>
      <c r="N934" s="89">
        <f t="shared" si="185"/>
        <v>2372.10962</v>
      </c>
      <c r="O934" s="89">
        <v>-1337.30236</v>
      </c>
      <c r="P934" s="275"/>
      <c r="Q934" s="487">
        <f t="shared" si="185"/>
        <v>1034.8072600000003</v>
      </c>
      <c r="R934" s="448">
        <f t="shared" si="185"/>
        <v>-302.49509999999964</v>
      </c>
      <c r="S934" s="444">
        <f t="shared" si="178"/>
        <v>-29.2320233624955</v>
      </c>
    </row>
    <row r="935" spans="1:19" ht="12.75" hidden="1">
      <c r="A935" s="46"/>
      <c r="B935" s="141"/>
      <c r="C935" s="76"/>
      <c r="D935" s="76"/>
      <c r="E935" s="76"/>
      <c r="F935" s="78" t="s">
        <v>237</v>
      </c>
      <c r="G935" s="89">
        <f>110*0.96</f>
        <v>105.6</v>
      </c>
      <c r="H935" s="82">
        <f>115*0.91</f>
        <v>104.65</v>
      </c>
      <c r="I935" s="82">
        <f>H935*1.049*0.95</f>
        <v>104.2889575</v>
      </c>
      <c r="J935" s="89">
        <v>120</v>
      </c>
      <c r="K935" s="275">
        <v>225.6</v>
      </c>
      <c r="L935" s="315"/>
      <c r="M935" s="82"/>
      <c r="N935" s="89">
        <f t="shared" si="185"/>
        <v>225.6</v>
      </c>
      <c r="O935" s="89"/>
      <c r="P935" s="275"/>
      <c r="Q935" s="487">
        <f t="shared" si="185"/>
        <v>225.6</v>
      </c>
      <c r="R935" s="448">
        <f t="shared" si="185"/>
        <v>225.6</v>
      </c>
      <c r="S935" s="444">
        <f t="shared" si="178"/>
        <v>100</v>
      </c>
    </row>
    <row r="936" spans="1:19" ht="15.75" customHeight="1" thickBot="1">
      <c r="A936" s="194" t="s">
        <v>110</v>
      </c>
      <c r="B936" s="210" t="s">
        <v>299</v>
      </c>
      <c r="C936" s="118" t="s">
        <v>255</v>
      </c>
      <c r="D936" s="118" t="s">
        <v>454</v>
      </c>
      <c r="E936" s="118" t="s">
        <v>221</v>
      </c>
      <c r="F936" s="119" t="s">
        <v>107</v>
      </c>
      <c r="G936" s="94">
        <f aca="true" t="shared" si="186" ref="G936:Q936">G935</f>
        <v>105.6</v>
      </c>
      <c r="H936" s="87">
        <f t="shared" si="186"/>
        <v>104.65</v>
      </c>
      <c r="I936" s="87">
        <f t="shared" si="186"/>
        <v>104.2889575</v>
      </c>
      <c r="J936" s="94">
        <f t="shared" si="186"/>
        <v>120</v>
      </c>
      <c r="K936" s="291">
        <f t="shared" si="186"/>
        <v>225.6</v>
      </c>
      <c r="L936" s="291">
        <f t="shared" si="186"/>
        <v>0</v>
      </c>
      <c r="M936" s="291">
        <f t="shared" si="186"/>
        <v>0</v>
      </c>
      <c r="N936" s="291">
        <f t="shared" si="186"/>
        <v>225.6</v>
      </c>
      <c r="O936" s="291">
        <f t="shared" si="186"/>
        <v>0</v>
      </c>
      <c r="P936" s="291">
        <f t="shared" si="186"/>
        <v>0</v>
      </c>
      <c r="Q936" s="488">
        <f t="shared" si="186"/>
        <v>225.6</v>
      </c>
      <c r="R936" s="489">
        <v>195.30295</v>
      </c>
      <c r="S936" s="477">
        <f t="shared" si="178"/>
        <v>86.57045656028369</v>
      </c>
    </row>
    <row r="937" spans="1:19" ht="13.5" hidden="1" thickBot="1">
      <c r="A937" s="109"/>
      <c r="B937" s="99"/>
      <c r="C937" s="100"/>
      <c r="D937" s="100"/>
      <c r="E937" s="100"/>
      <c r="F937" s="101" t="s">
        <v>238</v>
      </c>
      <c r="G937" s="102"/>
      <c r="H937" s="137"/>
      <c r="I937" s="137"/>
      <c r="J937" s="102"/>
      <c r="K937" s="280">
        <f>G937+J937</f>
        <v>0</v>
      </c>
      <c r="L937" s="331"/>
      <c r="M937" s="137"/>
      <c r="N937" s="102">
        <f>K937+L937+M937</f>
        <v>0</v>
      </c>
      <c r="O937" s="102">
        <f>L937+M937+N937</f>
        <v>0</v>
      </c>
      <c r="P937" s="280">
        <f>M937+N937+O937</f>
        <v>0</v>
      </c>
      <c r="Q937" s="485">
        <f>N937+O937+P937</f>
        <v>0</v>
      </c>
      <c r="R937" s="485">
        <f>O937+P937+Q937</f>
        <v>0</v>
      </c>
      <c r="S937" s="481" t="e">
        <f t="shared" si="178"/>
        <v>#DIV/0!</v>
      </c>
    </row>
    <row r="938" spans="1:19" ht="13.5" hidden="1" thickBot="1">
      <c r="A938" s="29"/>
      <c r="B938" s="30"/>
      <c r="C938" s="79"/>
      <c r="D938" s="79"/>
      <c r="E938" s="79"/>
      <c r="F938" s="81" t="s">
        <v>239</v>
      </c>
      <c r="G938" s="97"/>
      <c r="H938" s="111">
        <f>12*0.91</f>
        <v>10.92</v>
      </c>
      <c r="I938" s="111">
        <f>13*0.95</f>
        <v>12.35</v>
      </c>
      <c r="J938" s="97">
        <v>23</v>
      </c>
      <c r="K938" s="275">
        <v>23</v>
      </c>
      <c r="L938" s="315"/>
      <c r="M938" s="82"/>
      <c r="N938" s="89">
        <f>K938+L938+M938</f>
        <v>23</v>
      </c>
      <c r="O938" s="89">
        <v>-2</v>
      </c>
      <c r="P938" s="275"/>
      <c r="Q938" s="460">
        <v>130.69818</v>
      </c>
      <c r="R938" s="460">
        <v>130.69818</v>
      </c>
      <c r="S938" s="496">
        <f t="shared" si="178"/>
        <v>100</v>
      </c>
    </row>
    <row r="939" spans="1:19" ht="27.75" customHeight="1">
      <c r="A939" s="65" t="s">
        <v>510</v>
      </c>
      <c r="B939" s="66" t="s">
        <v>299</v>
      </c>
      <c r="C939" s="67" t="s">
        <v>255</v>
      </c>
      <c r="D939" s="67" t="s">
        <v>454</v>
      </c>
      <c r="E939" s="67" t="s">
        <v>509</v>
      </c>
      <c r="F939" s="251"/>
      <c r="G939" s="264">
        <f>G940</f>
        <v>0</v>
      </c>
      <c r="H939" s="264">
        <f aca="true" t="shared" si="187" ref="H939:R940">H940</f>
        <v>0</v>
      </c>
      <c r="I939" s="264">
        <f t="shared" si="187"/>
        <v>0</v>
      </c>
      <c r="J939" s="264">
        <f t="shared" si="187"/>
        <v>3717.4346000000005</v>
      </c>
      <c r="K939" s="301">
        <f t="shared" si="187"/>
        <v>3717.4346000000005</v>
      </c>
      <c r="L939" s="301">
        <f t="shared" si="187"/>
        <v>0</v>
      </c>
      <c r="M939" s="301">
        <f t="shared" si="187"/>
        <v>109.09418</v>
      </c>
      <c r="N939" s="301">
        <f t="shared" si="187"/>
        <v>3826.5287800000006</v>
      </c>
      <c r="O939" s="301">
        <f t="shared" si="187"/>
        <v>-199.67939000000004</v>
      </c>
      <c r="P939" s="301">
        <f t="shared" si="187"/>
        <v>0</v>
      </c>
      <c r="Q939" s="471">
        <f t="shared" si="187"/>
        <v>3600.67482</v>
      </c>
      <c r="R939" s="472">
        <f t="shared" si="187"/>
        <v>3574.18985</v>
      </c>
      <c r="S939" s="473">
        <f t="shared" si="178"/>
        <v>99.2644442688107</v>
      </c>
    </row>
    <row r="940" spans="1:19" ht="27" customHeight="1">
      <c r="A940" s="109" t="s">
        <v>184</v>
      </c>
      <c r="B940" s="99" t="s">
        <v>299</v>
      </c>
      <c r="C940" s="112" t="s">
        <v>255</v>
      </c>
      <c r="D940" s="112" t="s">
        <v>454</v>
      </c>
      <c r="E940" s="112" t="s">
        <v>491</v>
      </c>
      <c r="F940" s="252"/>
      <c r="G940" s="264">
        <f>G941</f>
        <v>0</v>
      </c>
      <c r="H940" s="264">
        <f t="shared" si="187"/>
        <v>0</v>
      </c>
      <c r="I940" s="264">
        <f t="shared" si="187"/>
        <v>0</v>
      </c>
      <c r="J940" s="264">
        <f t="shared" si="187"/>
        <v>3717.4346000000005</v>
      </c>
      <c r="K940" s="301">
        <f t="shared" si="187"/>
        <v>3717.4346000000005</v>
      </c>
      <c r="L940" s="301">
        <f t="shared" si="187"/>
        <v>0</v>
      </c>
      <c r="M940" s="301">
        <f t="shared" si="187"/>
        <v>109.09418</v>
      </c>
      <c r="N940" s="301">
        <f t="shared" si="187"/>
        <v>3826.5287800000006</v>
      </c>
      <c r="O940" s="301">
        <f t="shared" si="187"/>
        <v>-199.67939000000004</v>
      </c>
      <c r="P940" s="301">
        <f t="shared" si="187"/>
        <v>0</v>
      </c>
      <c r="Q940" s="474">
        <f t="shared" si="187"/>
        <v>3600.67482</v>
      </c>
      <c r="R940" s="449">
        <f t="shared" si="187"/>
        <v>3574.18985</v>
      </c>
      <c r="S940" s="465">
        <f t="shared" si="178"/>
        <v>99.2644442688107</v>
      </c>
    </row>
    <row r="941" spans="1:19" ht="15.75" customHeight="1" thickBot="1">
      <c r="A941" s="213" t="s">
        <v>120</v>
      </c>
      <c r="B941" s="220" t="s">
        <v>299</v>
      </c>
      <c r="C941" s="79" t="s">
        <v>255</v>
      </c>
      <c r="D941" s="79" t="s">
        <v>454</v>
      </c>
      <c r="E941" s="79" t="s">
        <v>491</v>
      </c>
      <c r="F941" s="155" t="s">
        <v>112</v>
      </c>
      <c r="G941" s="158">
        <f aca="true" t="shared" si="188" ref="G941:N941">G942+G943+G944+G945+G946+G947+G948+G949+G950+G951</f>
        <v>0</v>
      </c>
      <c r="H941" s="158">
        <f t="shared" si="188"/>
        <v>0</v>
      </c>
      <c r="I941" s="158">
        <f t="shared" si="188"/>
        <v>0</v>
      </c>
      <c r="J941" s="158">
        <f t="shared" si="188"/>
        <v>3717.4346000000005</v>
      </c>
      <c r="K941" s="294">
        <f t="shared" si="188"/>
        <v>3717.4346000000005</v>
      </c>
      <c r="L941" s="294">
        <f t="shared" si="188"/>
        <v>0</v>
      </c>
      <c r="M941" s="294">
        <f t="shared" si="188"/>
        <v>109.09418</v>
      </c>
      <c r="N941" s="294">
        <f t="shared" si="188"/>
        <v>3826.5287800000006</v>
      </c>
      <c r="O941" s="294">
        <f>O942+O943+O944+O945+O946+O947+O948+O949+O950+O951</f>
        <v>-199.67939000000004</v>
      </c>
      <c r="P941" s="294">
        <f>P942+P943+P944+P945+P946+P947+P948+P949+P950+P951</f>
        <v>0</v>
      </c>
      <c r="Q941" s="488">
        <v>3600.67482</v>
      </c>
      <c r="R941" s="489">
        <v>3574.18985</v>
      </c>
      <c r="S941" s="477">
        <f t="shared" si="178"/>
        <v>99.2644442688107</v>
      </c>
    </row>
    <row r="942" spans="1:19" ht="13.5" hidden="1" thickBot="1">
      <c r="A942" s="105"/>
      <c r="B942" s="71"/>
      <c r="C942" s="76"/>
      <c r="D942" s="76"/>
      <c r="E942" s="76"/>
      <c r="F942" s="156" t="s">
        <v>215</v>
      </c>
      <c r="G942" s="158"/>
      <c r="H942" s="158"/>
      <c r="I942" s="158"/>
      <c r="J942" s="158">
        <v>2822.3</v>
      </c>
      <c r="K942" s="280">
        <v>2822.3</v>
      </c>
      <c r="L942" s="315"/>
      <c r="M942" s="82">
        <v>83.78969</v>
      </c>
      <c r="N942" s="89">
        <f>K942+L942+M942</f>
        <v>2906.0896900000002</v>
      </c>
      <c r="O942" s="89">
        <v>-115.4578</v>
      </c>
      <c r="P942" s="275"/>
      <c r="Q942" s="485">
        <f>N942+O942+P942</f>
        <v>2790.63189</v>
      </c>
      <c r="R942" s="485">
        <f>O942+P942+Q942</f>
        <v>2675.17409</v>
      </c>
      <c r="S942" s="481">
        <f t="shared" si="178"/>
        <v>95.86266463829452</v>
      </c>
    </row>
    <row r="943" spans="1:19" ht="13.5" hidden="1" thickBot="1">
      <c r="A943" s="147"/>
      <c r="B943" s="30"/>
      <c r="C943" s="79"/>
      <c r="D943" s="79"/>
      <c r="E943" s="79"/>
      <c r="F943" s="155" t="s">
        <v>216</v>
      </c>
      <c r="G943" s="158"/>
      <c r="H943" s="158"/>
      <c r="I943" s="158"/>
      <c r="J943" s="158">
        <v>0.5</v>
      </c>
      <c r="K943" s="280">
        <v>0.5</v>
      </c>
      <c r="L943" s="315"/>
      <c r="M943" s="82"/>
      <c r="N943" s="89">
        <f aca="true" t="shared" si="189" ref="N943:R951">K943+L943+M943</f>
        <v>0.5</v>
      </c>
      <c r="O943" s="89"/>
      <c r="P943" s="275"/>
      <c r="Q943" s="448">
        <f t="shared" si="189"/>
        <v>0.5</v>
      </c>
      <c r="R943" s="448">
        <f t="shared" si="189"/>
        <v>0.5</v>
      </c>
      <c r="S943" s="465">
        <f t="shared" si="178"/>
        <v>100</v>
      </c>
    </row>
    <row r="944" spans="1:19" ht="13.5" hidden="1" thickBot="1">
      <c r="A944" s="105"/>
      <c r="B944" s="71"/>
      <c r="C944" s="76"/>
      <c r="D944" s="76"/>
      <c r="E944" s="76"/>
      <c r="F944" s="156" t="s">
        <v>217</v>
      </c>
      <c r="G944" s="158"/>
      <c r="H944" s="158"/>
      <c r="I944" s="158"/>
      <c r="J944" s="158">
        <v>852.3346</v>
      </c>
      <c r="K944" s="280">
        <v>852.3346</v>
      </c>
      <c r="L944" s="315"/>
      <c r="M944" s="82">
        <v>25.30449</v>
      </c>
      <c r="N944" s="89">
        <f t="shared" si="189"/>
        <v>877.63909</v>
      </c>
      <c r="O944" s="89">
        <v>-65.09159</v>
      </c>
      <c r="P944" s="275"/>
      <c r="Q944" s="448">
        <f t="shared" si="189"/>
        <v>812.5475</v>
      </c>
      <c r="R944" s="448">
        <f t="shared" si="189"/>
        <v>747.45591</v>
      </c>
      <c r="S944" s="465">
        <f t="shared" si="178"/>
        <v>91.98919570855858</v>
      </c>
    </row>
    <row r="945" spans="1:19" ht="13.5" hidden="1" thickBot="1">
      <c r="A945" s="147"/>
      <c r="B945" s="30"/>
      <c r="C945" s="79"/>
      <c r="D945" s="79"/>
      <c r="E945" s="79"/>
      <c r="F945" s="155" t="s">
        <v>233</v>
      </c>
      <c r="G945" s="158"/>
      <c r="H945" s="158"/>
      <c r="I945" s="158"/>
      <c r="J945" s="158"/>
      <c r="K945" s="280">
        <f>G945+J945</f>
        <v>0</v>
      </c>
      <c r="L945" s="315"/>
      <c r="M945" s="82"/>
      <c r="N945" s="89">
        <f t="shared" si="189"/>
        <v>0</v>
      </c>
      <c r="O945" s="89"/>
      <c r="P945" s="275">
        <f t="shared" si="189"/>
        <v>0</v>
      </c>
      <c r="Q945" s="448">
        <f t="shared" si="189"/>
        <v>0</v>
      </c>
      <c r="R945" s="448">
        <f t="shared" si="189"/>
        <v>0</v>
      </c>
      <c r="S945" s="465" t="e">
        <f t="shared" si="178"/>
        <v>#DIV/0!</v>
      </c>
    </row>
    <row r="946" spans="1:19" ht="13.5" hidden="1" thickBot="1">
      <c r="A946" s="105"/>
      <c r="B946" s="71"/>
      <c r="C946" s="76"/>
      <c r="D946" s="76"/>
      <c r="E946" s="76"/>
      <c r="F946" s="156" t="s">
        <v>234</v>
      </c>
      <c r="G946" s="158"/>
      <c r="H946" s="158"/>
      <c r="I946" s="158"/>
      <c r="J946" s="158">
        <v>4</v>
      </c>
      <c r="K946" s="280">
        <v>4</v>
      </c>
      <c r="L946" s="315"/>
      <c r="M946" s="82"/>
      <c r="N946" s="89">
        <f t="shared" si="189"/>
        <v>4</v>
      </c>
      <c r="O946" s="89">
        <v>-4</v>
      </c>
      <c r="P946" s="275"/>
      <c r="Q946" s="448">
        <f t="shared" si="189"/>
        <v>0</v>
      </c>
      <c r="R946" s="448">
        <f t="shared" si="189"/>
        <v>-4</v>
      </c>
      <c r="S946" s="465" t="e">
        <f t="shared" si="178"/>
        <v>#DIV/0!</v>
      </c>
    </row>
    <row r="947" spans="1:19" ht="13.5" hidden="1" thickBot="1">
      <c r="A947" s="147"/>
      <c r="B947" s="30"/>
      <c r="C947" s="79"/>
      <c r="D947" s="79"/>
      <c r="E947" s="79"/>
      <c r="F947" s="155" t="s">
        <v>235</v>
      </c>
      <c r="G947" s="158"/>
      <c r="H947" s="158"/>
      <c r="I947" s="158"/>
      <c r="J947" s="158"/>
      <c r="K947" s="280">
        <f>G947+J947</f>
        <v>0</v>
      </c>
      <c r="L947" s="315"/>
      <c r="M947" s="82"/>
      <c r="N947" s="89">
        <f t="shared" si="189"/>
        <v>0</v>
      </c>
      <c r="O947" s="89">
        <f t="shared" si="189"/>
        <v>0</v>
      </c>
      <c r="P947" s="275"/>
      <c r="Q947" s="448">
        <f t="shared" si="189"/>
        <v>0</v>
      </c>
      <c r="R947" s="448">
        <f t="shared" si="189"/>
        <v>0</v>
      </c>
      <c r="S947" s="465" t="e">
        <f t="shared" si="178"/>
        <v>#DIV/0!</v>
      </c>
    </row>
    <row r="948" spans="1:19" ht="13.5" hidden="1" thickBot="1">
      <c r="A948" s="105"/>
      <c r="B948" s="71"/>
      <c r="C948" s="76"/>
      <c r="D948" s="76"/>
      <c r="E948" s="76"/>
      <c r="F948" s="156" t="s">
        <v>236</v>
      </c>
      <c r="G948" s="158"/>
      <c r="H948" s="158"/>
      <c r="I948" s="158"/>
      <c r="J948" s="158">
        <v>3</v>
      </c>
      <c r="K948" s="280">
        <v>3</v>
      </c>
      <c r="L948" s="315"/>
      <c r="M948" s="82"/>
      <c r="N948" s="89">
        <f t="shared" si="189"/>
        <v>3</v>
      </c>
      <c r="O948" s="89"/>
      <c r="P948" s="275"/>
      <c r="Q948" s="448">
        <f t="shared" si="189"/>
        <v>3</v>
      </c>
      <c r="R948" s="448">
        <f t="shared" si="189"/>
        <v>3</v>
      </c>
      <c r="S948" s="465">
        <f t="shared" si="178"/>
        <v>100</v>
      </c>
    </row>
    <row r="949" spans="1:19" ht="13.5" hidden="1" thickBot="1">
      <c r="A949" s="147"/>
      <c r="B949" s="30"/>
      <c r="C949" s="79"/>
      <c r="D949" s="79"/>
      <c r="E949" s="79"/>
      <c r="F949" s="155" t="s">
        <v>237</v>
      </c>
      <c r="G949" s="158"/>
      <c r="H949" s="158"/>
      <c r="I949" s="158"/>
      <c r="J949" s="158">
        <v>10</v>
      </c>
      <c r="K949" s="280">
        <v>10</v>
      </c>
      <c r="L949" s="315"/>
      <c r="M949" s="82"/>
      <c r="N949" s="89">
        <f t="shared" si="189"/>
        <v>10</v>
      </c>
      <c r="O949" s="89">
        <v>-2.8</v>
      </c>
      <c r="P949" s="275"/>
      <c r="Q949" s="448">
        <f t="shared" si="189"/>
        <v>7.2</v>
      </c>
      <c r="R949" s="448">
        <f t="shared" si="189"/>
        <v>4.4</v>
      </c>
      <c r="S949" s="465">
        <f t="shared" si="178"/>
        <v>61.111111111111114</v>
      </c>
    </row>
    <row r="950" spans="1:19" ht="13.5" hidden="1" thickBot="1">
      <c r="A950" s="105"/>
      <c r="B950" s="71"/>
      <c r="C950" s="76"/>
      <c r="D950" s="76"/>
      <c r="E950" s="76"/>
      <c r="F950" s="156" t="s">
        <v>238</v>
      </c>
      <c r="G950" s="158"/>
      <c r="H950" s="158"/>
      <c r="I950" s="158"/>
      <c r="J950" s="158"/>
      <c r="K950" s="280">
        <f>G950+J950</f>
        <v>0</v>
      </c>
      <c r="L950" s="315"/>
      <c r="M950" s="82"/>
      <c r="N950" s="89">
        <f t="shared" si="189"/>
        <v>0</v>
      </c>
      <c r="O950" s="89">
        <f t="shared" si="189"/>
        <v>0</v>
      </c>
      <c r="P950" s="275">
        <f t="shared" si="189"/>
        <v>0</v>
      </c>
      <c r="Q950" s="448">
        <f t="shared" si="189"/>
        <v>0</v>
      </c>
      <c r="R950" s="448">
        <f t="shared" si="189"/>
        <v>0</v>
      </c>
      <c r="S950" s="465" t="e">
        <f t="shared" si="178"/>
        <v>#DIV/0!</v>
      </c>
    </row>
    <row r="951" spans="1:19" ht="13.5" hidden="1" thickBot="1">
      <c r="A951" s="147"/>
      <c r="B951" s="30"/>
      <c r="C951" s="79"/>
      <c r="D951" s="79"/>
      <c r="E951" s="79"/>
      <c r="F951" s="155" t="s">
        <v>239</v>
      </c>
      <c r="G951" s="158"/>
      <c r="H951" s="158"/>
      <c r="I951" s="158"/>
      <c r="J951" s="158">
        <v>25.3</v>
      </c>
      <c r="K951" s="280">
        <v>25.3</v>
      </c>
      <c r="L951" s="315"/>
      <c r="M951" s="82"/>
      <c r="N951" s="89">
        <f t="shared" si="189"/>
        <v>25.3</v>
      </c>
      <c r="O951" s="89">
        <v>-12.33</v>
      </c>
      <c r="P951" s="275"/>
      <c r="Q951" s="448">
        <f t="shared" si="189"/>
        <v>12.97</v>
      </c>
      <c r="R951" s="448">
        <f t="shared" si="189"/>
        <v>0.6400000000000006</v>
      </c>
      <c r="S951" s="465">
        <f t="shared" si="178"/>
        <v>4.934464148033928</v>
      </c>
    </row>
    <row r="952" spans="1:19" ht="51">
      <c r="A952" s="65" t="s">
        <v>458</v>
      </c>
      <c r="B952" s="66" t="s">
        <v>299</v>
      </c>
      <c r="C952" s="67" t="s">
        <v>255</v>
      </c>
      <c r="D952" s="67" t="s">
        <v>454</v>
      </c>
      <c r="E952" s="67" t="s">
        <v>459</v>
      </c>
      <c r="F952" s="69"/>
      <c r="G952" s="88">
        <f aca="true" t="shared" si="190" ref="G952:R953">G953</f>
        <v>14839.68</v>
      </c>
      <c r="H952" s="55">
        <f t="shared" si="190"/>
        <v>13737.006920000002</v>
      </c>
      <c r="I952" s="55">
        <f t="shared" si="190"/>
        <v>14325.731001876002</v>
      </c>
      <c r="J952" s="88">
        <f t="shared" si="190"/>
        <v>-2367.52446</v>
      </c>
      <c r="K952" s="286">
        <f t="shared" si="190"/>
        <v>12472.155540000003</v>
      </c>
      <c r="L952" s="286">
        <f t="shared" si="190"/>
        <v>178</v>
      </c>
      <c r="M952" s="286">
        <f t="shared" si="190"/>
        <v>286.04213</v>
      </c>
      <c r="N952" s="286">
        <f t="shared" si="190"/>
        <v>12936.197670000001</v>
      </c>
      <c r="O952" s="286">
        <f t="shared" si="190"/>
        <v>958.47861</v>
      </c>
      <c r="P952" s="286">
        <f t="shared" si="190"/>
        <v>0</v>
      </c>
      <c r="Q952" s="449">
        <f t="shared" si="190"/>
        <v>13920.85085</v>
      </c>
      <c r="R952" s="449">
        <f t="shared" si="190"/>
        <v>13915.14259</v>
      </c>
      <c r="S952" s="465">
        <f t="shared" si="178"/>
        <v>99.95899489146527</v>
      </c>
    </row>
    <row r="953" spans="1:19" ht="30" customHeight="1">
      <c r="A953" s="109" t="s">
        <v>184</v>
      </c>
      <c r="B953" s="99" t="s">
        <v>299</v>
      </c>
      <c r="C953" s="112" t="s">
        <v>255</v>
      </c>
      <c r="D953" s="112" t="s">
        <v>454</v>
      </c>
      <c r="E953" s="112" t="s">
        <v>460</v>
      </c>
      <c r="F953" s="104"/>
      <c r="G953" s="88">
        <f t="shared" si="190"/>
        <v>14839.68</v>
      </c>
      <c r="H953" s="88">
        <f t="shared" si="190"/>
        <v>13737.006920000002</v>
      </c>
      <c r="I953" s="88">
        <f t="shared" si="190"/>
        <v>14325.731001876002</v>
      </c>
      <c r="J953" s="88">
        <f t="shared" si="190"/>
        <v>-2367.52446</v>
      </c>
      <c r="K953" s="290">
        <f t="shared" si="190"/>
        <v>12472.155540000003</v>
      </c>
      <c r="L953" s="290">
        <f t="shared" si="190"/>
        <v>178</v>
      </c>
      <c r="M953" s="290">
        <f t="shared" si="190"/>
        <v>286.04213</v>
      </c>
      <c r="N953" s="290">
        <f t="shared" si="190"/>
        <v>12936.197670000001</v>
      </c>
      <c r="O953" s="290">
        <f t="shared" si="190"/>
        <v>958.47861</v>
      </c>
      <c r="P953" s="290">
        <f t="shared" si="190"/>
        <v>0</v>
      </c>
      <c r="Q953" s="449">
        <f t="shared" si="190"/>
        <v>13920.85085</v>
      </c>
      <c r="R953" s="449">
        <f t="shared" si="190"/>
        <v>13915.14259</v>
      </c>
      <c r="S953" s="465">
        <f t="shared" si="178"/>
        <v>99.95899489146527</v>
      </c>
    </row>
    <row r="954" spans="1:19" ht="15.75" customHeight="1" thickBot="1">
      <c r="A954" s="213" t="s">
        <v>120</v>
      </c>
      <c r="B954" s="220" t="s">
        <v>299</v>
      </c>
      <c r="C954" s="79" t="s">
        <v>255</v>
      </c>
      <c r="D954" s="79" t="s">
        <v>454</v>
      </c>
      <c r="E954" s="79" t="s">
        <v>460</v>
      </c>
      <c r="F954" s="81" t="s">
        <v>112</v>
      </c>
      <c r="G954" s="89">
        <f aca="true" t="shared" si="191" ref="G954:N954">G955+G956+G957+G958+G959+G960+G961+G962+G963+G964</f>
        <v>14839.68</v>
      </c>
      <c r="H954" s="89">
        <f t="shared" si="191"/>
        <v>13737.006920000002</v>
      </c>
      <c r="I954" s="89">
        <f t="shared" si="191"/>
        <v>14325.731001876002</v>
      </c>
      <c r="J954" s="89">
        <f t="shared" si="191"/>
        <v>-2367.52446</v>
      </c>
      <c r="K954" s="275">
        <f t="shared" si="191"/>
        <v>12472.155540000003</v>
      </c>
      <c r="L954" s="275">
        <f t="shared" si="191"/>
        <v>178</v>
      </c>
      <c r="M954" s="275">
        <f t="shared" si="191"/>
        <v>286.04213</v>
      </c>
      <c r="N954" s="275">
        <f t="shared" si="191"/>
        <v>12936.197670000001</v>
      </c>
      <c r="O954" s="275">
        <f>O955+O956+O957+O958+O959+O960+O961+O962+O963+O964</f>
        <v>958.47861</v>
      </c>
      <c r="P954" s="275">
        <f>P955+P956+P957+P958+P959+P960+P961+P962+P963+P964</f>
        <v>0</v>
      </c>
      <c r="Q954" s="448">
        <v>13920.85085</v>
      </c>
      <c r="R954" s="448">
        <v>13915.14259</v>
      </c>
      <c r="S954" s="444">
        <f t="shared" si="178"/>
        <v>99.95899489146527</v>
      </c>
    </row>
    <row r="955" spans="1:19" ht="15.75" customHeight="1" hidden="1">
      <c r="A955" s="105"/>
      <c r="B955" s="71"/>
      <c r="C955" s="76"/>
      <c r="D955" s="76"/>
      <c r="E955" s="76"/>
      <c r="F955" s="78" t="s">
        <v>215</v>
      </c>
      <c r="G955" s="89">
        <v>11134.69184</v>
      </c>
      <c r="H955" s="82">
        <f>11209*0.91</f>
        <v>10200.19</v>
      </c>
      <c r="I955" s="82">
        <f>11209*0.95</f>
        <v>10648.55</v>
      </c>
      <c r="J955" s="89">
        <v>-2095.87966</v>
      </c>
      <c r="K955" s="275">
        <v>9038.81218</v>
      </c>
      <c r="L955" s="315"/>
      <c r="M955" s="82">
        <v>82.98167</v>
      </c>
      <c r="N955" s="380">
        <f>K955+L955+M955</f>
        <v>9121.79385</v>
      </c>
      <c r="O955" s="89">
        <v>436.49831</v>
      </c>
      <c r="P955" s="275"/>
      <c r="Q955" s="448">
        <f>N955+O955+P955</f>
        <v>9558.29216</v>
      </c>
      <c r="R955" s="448">
        <f>O955+P955+Q955</f>
        <v>9994.790470000002</v>
      </c>
      <c r="S955" s="465">
        <f t="shared" si="178"/>
        <v>104.56669771851796</v>
      </c>
    </row>
    <row r="956" spans="1:19" ht="13.5" hidden="1" thickBot="1">
      <c r="A956" s="147"/>
      <c r="B956" s="30"/>
      <c r="C956" s="79"/>
      <c r="D956" s="79"/>
      <c r="E956" s="79"/>
      <c r="F956" s="81" t="s">
        <v>216</v>
      </c>
      <c r="G956" s="89"/>
      <c r="H956" s="82">
        <f>3*0.91</f>
        <v>2.73</v>
      </c>
      <c r="I956" s="82">
        <f>3*0.95</f>
        <v>2.8499999999999996</v>
      </c>
      <c r="J956" s="89"/>
      <c r="K956" s="275">
        <f>G956+J956</f>
        <v>0</v>
      </c>
      <c r="L956" s="315"/>
      <c r="M956" s="82"/>
      <c r="N956" s="380">
        <f aca="true" t="shared" si="192" ref="N956:R964">K956+L956+M956</f>
        <v>0</v>
      </c>
      <c r="O956" s="89">
        <f t="shared" si="192"/>
        <v>0</v>
      </c>
      <c r="P956" s="275">
        <f t="shared" si="192"/>
        <v>0</v>
      </c>
      <c r="Q956" s="448">
        <f t="shared" si="192"/>
        <v>0</v>
      </c>
      <c r="R956" s="448">
        <f t="shared" si="192"/>
        <v>0</v>
      </c>
      <c r="S956" s="465" t="e">
        <f t="shared" si="178"/>
        <v>#DIV/0!</v>
      </c>
    </row>
    <row r="957" spans="1:19" ht="13.5" hidden="1" thickBot="1">
      <c r="A957" s="105"/>
      <c r="B957" s="71"/>
      <c r="C957" s="76"/>
      <c r="D957" s="76"/>
      <c r="E957" s="76"/>
      <c r="F957" s="78" t="s">
        <v>217</v>
      </c>
      <c r="G957" s="89">
        <v>3270.77259</v>
      </c>
      <c r="H957" s="82">
        <f>3385*0.91</f>
        <v>3080.35</v>
      </c>
      <c r="I957" s="82">
        <f>3385*0.95</f>
        <v>3215.75</v>
      </c>
      <c r="J957" s="89">
        <v>-659.53572</v>
      </c>
      <c r="K957" s="275">
        <v>2611.23687</v>
      </c>
      <c r="L957" s="315"/>
      <c r="M957" s="82">
        <v>25.06046</v>
      </c>
      <c r="N957" s="380">
        <f t="shared" si="192"/>
        <v>2636.2973300000003</v>
      </c>
      <c r="O957" s="89">
        <v>682.0069</v>
      </c>
      <c r="P957" s="275"/>
      <c r="Q957" s="448">
        <f t="shared" si="192"/>
        <v>3318.30423</v>
      </c>
      <c r="R957" s="448">
        <f t="shared" si="192"/>
        <v>4000.31113</v>
      </c>
      <c r="S957" s="465">
        <f t="shared" si="178"/>
        <v>120.55287438186461</v>
      </c>
    </row>
    <row r="958" spans="1:19" ht="13.5" hidden="1" thickBot="1">
      <c r="A958" s="147"/>
      <c r="B958" s="30"/>
      <c r="C958" s="79"/>
      <c r="D958" s="79"/>
      <c r="E958" s="79"/>
      <c r="F958" s="81" t="s">
        <v>233</v>
      </c>
      <c r="G958" s="89">
        <v>56</v>
      </c>
      <c r="H958" s="82">
        <f>G958*1.052*0.91</f>
        <v>53.60992000000001</v>
      </c>
      <c r="I958" s="82">
        <f>H958*1.049*0.95</f>
        <v>53.42496577600001</v>
      </c>
      <c r="J958" s="89">
        <v>84.78408</v>
      </c>
      <c r="K958" s="275">
        <v>140.78408</v>
      </c>
      <c r="L958" s="319">
        <v>92</v>
      </c>
      <c r="M958" s="82">
        <v>92</v>
      </c>
      <c r="N958" s="89">
        <f t="shared" si="192"/>
        <v>324.78408</v>
      </c>
      <c r="O958" s="89">
        <v>-90.04809</v>
      </c>
      <c r="P958" s="275"/>
      <c r="Q958" s="448">
        <f t="shared" si="192"/>
        <v>234.73599000000002</v>
      </c>
      <c r="R958" s="448">
        <f t="shared" si="192"/>
        <v>144.6879</v>
      </c>
      <c r="S958" s="465">
        <f t="shared" si="178"/>
        <v>61.6385668000889</v>
      </c>
    </row>
    <row r="959" spans="1:19" ht="13.5" hidden="1" thickBot="1">
      <c r="A959" s="105"/>
      <c r="B959" s="71"/>
      <c r="C959" s="76"/>
      <c r="D959" s="76"/>
      <c r="E959" s="76"/>
      <c r="F959" s="78" t="s">
        <v>234</v>
      </c>
      <c r="G959" s="89">
        <v>0</v>
      </c>
      <c r="H959" s="82">
        <f>12.5*0.91</f>
        <v>11.375</v>
      </c>
      <c r="I959" s="82">
        <f>13*0.95</f>
        <v>12.35</v>
      </c>
      <c r="J959" s="89"/>
      <c r="K959" s="275">
        <f>G959+J959</f>
        <v>0</v>
      </c>
      <c r="L959" s="315"/>
      <c r="M959" s="82"/>
      <c r="N959" s="89">
        <f t="shared" si="192"/>
        <v>0</v>
      </c>
      <c r="O959" s="89"/>
      <c r="P959" s="275"/>
      <c r="Q959" s="448">
        <f t="shared" si="192"/>
        <v>0</v>
      </c>
      <c r="R959" s="448">
        <f t="shared" si="192"/>
        <v>0</v>
      </c>
      <c r="S959" s="465" t="e">
        <f t="shared" si="178"/>
        <v>#DIV/0!</v>
      </c>
    </row>
    <row r="960" spans="1:19" ht="13.5" hidden="1" thickBot="1">
      <c r="A960" s="147"/>
      <c r="B960" s="30"/>
      <c r="C960" s="79"/>
      <c r="D960" s="79"/>
      <c r="E960" s="79"/>
      <c r="F960" s="81" t="s">
        <v>235</v>
      </c>
      <c r="G960" s="89">
        <v>22.24932</v>
      </c>
      <c r="H960" s="82">
        <f>11*0.91</f>
        <v>10.01</v>
      </c>
      <c r="I960" s="82">
        <f>11*0.95</f>
        <v>10.45</v>
      </c>
      <c r="J960" s="89">
        <v>-0.67432</v>
      </c>
      <c r="K960" s="275">
        <v>21.575</v>
      </c>
      <c r="L960" s="315"/>
      <c r="M960" s="82"/>
      <c r="N960" s="89">
        <f t="shared" si="192"/>
        <v>21.575</v>
      </c>
      <c r="O960" s="89">
        <v>-14.837</v>
      </c>
      <c r="P960" s="275"/>
      <c r="Q960" s="448">
        <f t="shared" si="192"/>
        <v>6.7379999999999995</v>
      </c>
      <c r="R960" s="448">
        <f t="shared" si="192"/>
        <v>-8.099</v>
      </c>
      <c r="S960" s="465">
        <f t="shared" si="178"/>
        <v>-120.19887206886317</v>
      </c>
    </row>
    <row r="961" spans="1:19" ht="13.5" hidden="1" thickBot="1">
      <c r="A961" s="105"/>
      <c r="B961" s="71"/>
      <c r="C961" s="76"/>
      <c r="D961" s="76"/>
      <c r="E961" s="76"/>
      <c r="F961" s="78" t="s">
        <v>236</v>
      </c>
      <c r="G961" s="89">
        <v>100</v>
      </c>
      <c r="H961" s="82">
        <f>G961*1.052*0.91</f>
        <v>95.732</v>
      </c>
      <c r="I961" s="82">
        <f>H961*1.049*0.95</f>
        <v>95.4017246</v>
      </c>
      <c r="J961" s="89">
        <v>-30.72677</v>
      </c>
      <c r="K961" s="275">
        <v>69.27323</v>
      </c>
      <c r="L961" s="315"/>
      <c r="M961" s="82"/>
      <c r="N961" s="89">
        <f t="shared" si="192"/>
        <v>69.27323</v>
      </c>
      <c r="O961" s="89">
        <f>52.1+78.12974</f>
        <v>130.22974</v>
      </c>
      <c r="P961" s="275"/>
      <c r="Q961" s="448">
        <f t="shared" si="192"/>
        <v>199.50297</v>
      </c>
      <c r="R961" s="448">
        <f t="shared" si="192"/>
        <v>329.73271</v>
      </c>
      <c r="S961" s="465">
        <f t="shared" si="178"/>
        <v>165.27709336858493</v>
      </c>
    </row>
    <row r="962" spans="1:19" ht="13.5" hidden="1" thickBot="1">
      <c r="A962" s="147"/>
      <c r="B962" s="30"/>
      <c r="C962" s="79"/>
      <c r="D962" s="79"/>
      <c r="E962" s="79"/>
      <c r="F962" s="81" t="s">
        <v>237</v>
      </c>
      <c r="G962" s="89">
        <v>5.96625</v>
      </c>
      <c r="H962" s="82">
        <f>44*0.91</f>
        <v>40.04</v>
      </c>
      <c r="I962" s="82">
        <f>46*0.95</f>
        <v>43.699999999999996</v>
      </c>
      <c r="J962" s="89">
        <v>-3.50407</v>
      </c>
      <c r="K962" s="275">
        <v>2.46218</v>
      </c>
      <c r="L962" s="319">
        <v>1</v>
      </c>
      <c r="M962" s="82">
        <v>1</v>
      </c>
      <c r="N962" s="89">
        <f t="shared" si="192"/>
        <v>4.46218</v>
      </c>
      <c r="O962" s="89">
        <v>-1.27125</v>
      </c>
      <c r="P962" s="275"/>
      <c r="Q962" s="448">
        <f t="shared" si="192"/>
        <v>3.19093</v>
      </c>
      <c r="R962" s="448">
        <f t="shared" si="192"/>
        <v>1.9196799999999998</v>
      </c>
      <c r="S962" s="465">
        <f t="shared" si="178"/>
        <v>60.160517466694664</v>
      </c>
    </row>
    <row r="963" spans="1:19" ht="13.5" hidden="1" thickBot="1">
      <c r="A963" s="105"/>
      <c r="B963" s="71"/>
      <c r="C963" s="76"/>
      <c r="D963" s="76"/>
      <c r="E963" s="76"/>
      <c r="F963" s="78" t="s">
        <v>238</v>
      </c>
      <c r="G963" s="89">
        <v>0</v>
      </c>
      <c r="H963" s="82">
        <f>4*0.91</f>
        <v>3.64</v>
      </c>
      <c r="I963" s="82">
        <f>5*0.95</f>
        <v>4.75</v>
      </c>
      <c r="J963" s="89"/>
      <c r="K963" s="275">
        <f>G963+J963</f>
        <v>0</v>
      </c>
      <c r="L963" s="319"/>
      <c r="M963" s="82"/>
      <c r="N963" s="89">
        <f t="shared" si="192"/>
        <v>0</v>
      </c>
      <c r="O963" s="89"/>
      <c r="P963" s="275">
        <f t="shared" si="192"/>
        <v>0</v>
      </c>
      <c r="Q963" s="448">
        <f t="shared" si="192"/>
        <v>0</v>
      </c>
      <c r="R963" s="448">
        <f t="shared" si="192"/>
        <v>0</v>
      </c>
      <c r="S963" s="465" t="e">
        <f t="shared" si="178"/>
        <v>#DIV/0!</v>
      </c>
    </row>
    <row r="964" spans="1:19" ht="13.5" hidden="1" thickBot="1">
      <c r="A964" s="147"/>
      <c r="B964" s="30"/>
      <c r="C964" s="79"/>
      <c r="D964" s="79"/>
      <c r="E964" s="79"/>
      <c r="F964" s="81" t="s">
        <v>239</v>
      </c>
      <c r="G964" s="97">
        <v>250</v>
      </c>
      <c r="H964" s="111">
        <f>G964*1.052*0.91</f>
        <v>239.33</v>
      </c>
      <c r="I964" s="111">
        <f>H964*1.049*0.95</f>
        <v>238.50431149999997</v>
      </c>
      <c r="J964" s="97">
        <v>338.012</v>
      </c>
      <c r="K964" s="275">
        <v>588.012</v>
      </c>
      <c r="L964" s="319">
        <v>85</v>
      </c>
      <c r="M964" s="82">
        <v>85</v>
      </c>
      <c r="N964" s="89">
        <f t="shared" si="192"/>
        <v>758.012</v>
      </c>
      <c r="O964" s="89">
        <f>-52.1-142+10</f>
        <v>-184.1</v>
      </c>
      <c r="P964" s="275"/>
      <c r="Q964" s="448">
        <f t="shared" si="192"/>
        <v>573.9119999999999</v>
      </c>
      <c r="R964" s="448">
        <f t="shared" si="192"/>
        <v>389.8119999999999</v>
      </c>
      <c r="S964" s="465">
        <f t="shared" si="178"/>
        <v>67.92191137317218</v>
      </c>
    </row>
    <row r="965" spans="1:19" ht="12.75" customHeight="1" hidden="1">
      <c r="A965" s="148" t="s">
        <v>406</v>
      </c>
      <c r="B965" s="66" t="s">
        <v>299</v>
      </c>
      <c r="C965" s="67" t="s">
        <v>255</v>
      </c>
      <c r="D965" s="67" t="s">
        <v>454</v>
      </c>
      <c r="E965" s="67" t="s">
        <v>407</v>
      </c>
      <c r="F965" s="69" t="s">
        <v>201</v>
      </c>
      <c r="G965" s="200">
        <f>G966+G968</f>
        <v>0</v>
      </c>
      <c r="H965" s="70">
        <f>H966+H968</f>
        <v>0</v>
      </c>
      <c r="I965" s="70">
        <f>I966+I968</f>
        <v>0</v>
      </c>
      <c r="J965" s="200">
        <f>J966+J968</f>
        <v>0</v>
      </c>
      <c r="K965" s="286">
        <f>K966+K968</f>
        <v>0</v>
      </c>
      <c r="L965" s="313"/>
      <c r="M965" s="75"/>
      <c r="N965" s="96"/>
      <c r="O965" s="96"/>
      <c r="P965" s="287"/>
      <c r="Q965" s="449"/>
      <c r="R965" s="449"/>
      <c r="S965" s="465" t="e">
        <f t="shared" si="178"/>
        <v>#DIV/0!</v>
      </c>
    </row>
    <row r="966" spans="1:19" ht="13.5" hidden="1" thickBot="1">
      <c r="A966" s="109" t="s">
        <v>398</v>
      </c>
      <c r="B966" s="99" t="s">
        <v>299</v>
      </c>
      <c r="C966" s="100" t="s">
        <v>255</v>
      </c>
      <c r="D966" s="100" t="s">
        <v>454</v>
      </c>
      <c r="E966" s="100" t="s">
        <v>407</v>
      </c>
      <c r="F966" s="101" t="s">
        <v>399</v>
      </c>
      <c r="G966" s="102">
        <f>G967</f>
        <v>0</v>
      </c>
      <c r="H966" s="137">
        <f>H967</f>
        <v>0</v>
      </c>
      <c r="I966" s="137">
        <f>I967</f>
        <v>0</v>
      </c>
      <c r="J966" s="102">
        <f>J967</f>
        <v>0</v>
      </c>
      <c r="K966" s="280">
        <f>K967</f>
        <v>0</v>
      </c>
      <c r="L966" s="315"/>
      <c r="M966" s="82"/>
      <c r="N966" s="89"/>
      <c r="O966" s="89"/>
      <c r="P966" s="275"/>
      <c r="Q966" s="448"/>
      <c r="R966" s="448"/>
      <c r="S966" s="465" t="e">
        <f t="shared" si="178"/>
        <v>#DIV/0!</v>
      </c>
    </row>
    <row r="967" spans="1:19" ht="13.5" hidden="1" thickBot="1">
      <c r="A967" s="29"/>
      <c r="B967" s="30"/>
      <c r="C967" s="79"/>
      <c r="D967" s="79"/>
      <c r="E967" s="79"/>
      <c r="F967" s="81" t="s">
        <v>237</v>
      </c>
      <c r="G967" s="89"/>
      <c r="H967" s="82"/>
      <c r="I967" s="82"/>
      <c r="J967" s="89"/>
      <c r="K967" s="275"/>
      <c r="L967" s="315"/>
      <c r="M967" s="82"/>
      <c r="N967" s="89"/>
      <c r="O967" s="89"/>
      <c r="P967" s="275"/>
      <c r="Q967" s="448"/>
      <c r="R967" s="448"/>
      <c r="S967" s="465" t="e">
        <f t="shared" si="178"/>
        <v>#DIV/0!</v>
      </c>
    </row>
    <row r="968" spans="1:19" ht="13.5" hidden="1" thickBot="1">
      <c r="A968" s="46" t="s">
        <v>208</v>
      </c>
      <c r="B968" s="71" t="s">
        <v>299</v>
      </c>
      <c r="C968" s="76" t="s">
        <v>255</v>
      </c>
      <c r="D968" s="76" t="s">
        <v>454</v>
      </c>
      <c r="E968" s="76" t="s">
        <v>407</v>
      </c>
      <c r="F968" s="78" t="s">
        <v>209</v>
      </c>
      <c r="G968" s="89">
        <f>G969</f>
        <v>0</v>
      </c>
      <c r="H968" s="82">
        <f>H969</f>
        <v>0</v>
      </c>
      <c r="I968" s="82">
        <f>I969</f>
        <v>0</v>
      </c>
      <c r="J968" s="89">
        <f>J969</f>
        <v>0</v>
      </c>
      <c r="K968" s="275">
        <f>K969</f>
        <v>0</v>
      </c>
      <c r="L968" s="315"/>
      <c r="M968" s="82"/>
      <c r="N968" s="89"/>
      <c r="O968" s="89"/>
      <c r="P968" s="275"/>
      <c r="Q968" s="448"/>
      <c r="R968" s="448"/>
      <c r="S968" s="465" t="e">
        <f t="shared" si="178"/>
        <v>#DIV/0!</v>
      </c>
    </row>
    <row r="969" spans="1:19" ht="13.5" hidden="1" thickBot="1">
      <c r="A969" s="62"/>
      <c r="B969" s="53"/>
      <c r="C969" s="84"/>
      <c r="D969" s="84"/>
      <c r="E969" s="84"/>
      <c r="F969" s="86" t="s">
        <v>237</v>
      </c>
      <c r="G969" s="94">
        <v>0</v>
      </c>
      <c r="H969" s="87">
        <v>0</v>
      </c>
      <c r="I969" s="87">
        <v>0</v>
      </c>
      <c r="J969" s="94">
        <v>0</v>
      </c>
      <c r="K969" s="291">
        <v>0</v>
      </c>
      <c r="L969" s="315"/>
      <c r="M969" s="82"/>
      <c r="N969" s="89"/>
      <c r="O969" s="89"/>
      <c r="P969" s="275"/>
      <c r="Q969" s="448"/>
      <c r="R969" s="448"/>
      <c r="S969" s="465" t="e">
        <f t="shared" si="178"/>
        <v>#DIV/0!</v>
      </c>
    </row>
    <row r="970" spans="1:19" ht="75" customHeight="1" hidden="1">
      <c r="A970" s="98" t="s">
        <v>247</v>
      </c>
      <c r="B970" s="66" t="s">
        <v>299</v>
      </c>
      <c r="C970" s="67" t="s">
        <v>255</v>
      </c>
      <c r="D970" s="67" t="s">
        <v>454</v>
      </c>
      <c r="E970" s="67" t="s">
        <v>248</v>
      </c>
      <c r="F970" s="69" t="s">
        <v>201</v>
      </c>
      <c r="G970" s="200">
        <f aca="true" t="shared" si="193" ref="G970:K971">G971</f>
        <v>0</v>
      </c>
      <c r="H970" s="70">
        <f t="shared" si="193"/>
        <v>0</v>
      </c>
      <c r="I970" s="70">
        <f t="shared" si="193"/>
        <v>0</v>
      </c>
      <c r="J970" s="200">
        <f t="shared" si="193"/>
        <v>0</v>
      </c>
      <c r="K970" s="286">
        <f t="shared" si="193"/>
        <v>0</v>
      </c>
      <c r="L970" s="313"/>
      <c r="M970" s="75"/>
      <c r="N970" s="96"/>
      <c r="O970" s="96"/>
      <c r="P970" s="287"/>
      <c r="Q970" s="449"/>
      <c r="R970" s="449"/>
      <c r="S970" s="465" t="e">
        <f t="shared" si="178"/>
        <v>#DIV/0!</v>
      </c>
    </row>
    <row r="971" spans="1:19" ht="13.5" hidden="1" thickBot="1">
      <c r="A971" s="103" t="s">
        <v>402</v>
      </c>
      <c r="B971" s="99" t="s">
        <v>299</v>
      </c>
      <c r="C971" s="100" t="s">
        <v>255</v>
      </c>
      <c r="D971" s="100" t="s">
        <v>454</v>
      </c>
      <c r="E971" s="100" t="s">
        <v>248</v>
      </c>
      <c r="F971" s="101" t="s">
        <v>209</v>
      </c>
      <c r="G971" s="102">
        <f t="shared" si="193"/>
        <v>0</v>
      </c>
      <c r="H971" s="137">
        <f t="shared" si="193"/>
        <v>0</v>
      </c>
      <c r="I971" s="137">
        <f t="shared" si="193"/>
        <v>0</v>
      </c>
      <c r="J971" s="102">
        <f t="shared" si="193"/>
        <v>0</v>
      </c>
      <c r="K971" s="280">
        <f t="shared" si="193"/>
        <v>0</v>
      </c>
      <c r="L971" s="315"/>
      <c r="M971" s="82"/>
      <c r="N971" s="89"/>
      <c r="O971" s="89"/>
      <c r="P971" s="275"/>
      <c r="Q971" s="448"/>
      <c r="R971" s="448"/>
      <c r="S971" s="465" t="e">
        <f t="shared" si="178"/>
        <v>#DIV/0!</v>
      </c>
    </row>
    <row r="972" spans="1:19" ht="13.5" hidden="1" thickBot="1">
      <c r="A972" s="56"/>
      <c r="B972" s="53"/>
      <c r="C972" s="84"/>
      <c r="D972" s="84"/>
      <c r="E972" s="84"/>
      <c r="F972" s="86" t="s">
        <v>217</v>
      </c>
      <c r="G972" s="94"/>
      <c r="H972" s="87"/>
      <c r="I972" s="87"/>
      <c r="J972" s="94"/>
      <c r="K972" s="291"/>
      <c r="L972" s="315"/>
      <c r="M972" s="82"/>
      <c r="N972" s="89"/>
      <c r="O972" s="89"/>
      <c r="P972" s="275"/>
      <c r="Q972" s="448"/>
      <c r="R972" s="448"/>
      <c r="S972" s="465" t="e">
        <f t="shared" si="178"/>
        <v>#DIV/0!</v>
      </c>
    </row>
    <row r="973" spans="1:19" ht="13.5" hidden="1" thickBot="1">
      <c r="A973" s="56"/>
      <c r="B973" s="53"/>
      <c r="C973" s="84"/>
      <c r="D973" s="84"/>
      <c r="E973" s="84"/>
      <c r="F973" s="86" t="s">
        <v>389</v>
      </c>
      <c r="G973" s="206"/>
      <c r="H973" s="143"/>
      <c r="I973" s="143"/>
      <c r="J973" s="206"/>
      <c r="K973" s="273"/>
      <c r="L973" s="315"/>
      <c r="M973" s="82"/>
      <c r="N973" s="89"/>
      <c r="O973" s="89"/>
      <c r="P973" s="275"/>
      <c r="Q973" s="460"/>
      <c r="R973" s="460"/>
      <c r="S973" s="496" t="e">
        <f t="shared" si="178"/>
        <v>#DIV/0!</v>
      </c>
    </row>
    <row r="974" spans="1:19" ht="16.5" customHeight="1" thickBot="1">
      <c r="A974" s="23" t="s">
        <v>291</v>
      </c>
      <c r="B974" s="24" t="s">
        <v>299</v>
      </c>
      <c r="C974" s="25" t="s">
        <v>255</v>
      </c>
      <c r="D974" s="25" t="s">
        <v>454</v>
      </c>
      <c r="E974" s="25" t="s">
        <v>292</v>
      </c>
      <c r="F974" s="27"/>
      <c r="G974" s="201">
        <f aca="true" t="shared" si="194" ref="G974:M974">G978+G986+G989+G994+G1000+G1005+G1009+G1017+G1019</f>
        <v>3785</v>
      </c>
      <c r="H974" s="201">
        <f t="shared" si="194"/>
        <v>4485</v>
      </c>
      <c r="I974" s="201">
        <f t="shared" si="194"/>
        <v>2050</v>
      </c>
      <c r="J974" s="201">
        <f t="shared" si="194"/>
        <v>1758.80537</v>
      </c>
      <c r="K974" s="289">
        <f t="shared" si="194"/>
        <v>5543.80537</v>
      </c>
      <c r="L974" s="289">
        <f t="shared" si="194"/>
        <v>-200</v>
      </c>
      <c r="M974" s="289">
        <f t="shared" si="194"/>
        <v>0</v>
      </c>
      <c r="N974" s="289">
        <f>N978+N986+N989+N994+N1000+N1005+N1009+N1017+N1019+N1021</f>
        <v>5343.80537</v>
      </c>
      <c r="O974" s="289">
        <f>O978+O986+O989+O994+O1000+O1005+O1009+O1017+O1019+O1021</f>
        <v>200.91</v>
      </c>
      <c r="P974" s="289">
        <f>P978+P986+P989+P994+P1000+P1005+P1009+P1017+P1019+P1021</f>
        <v>0</v>
      </c>
      <c r="Q974" s="482">
        <f>Q978+Q986+Q989+Q994+Q1000+Q1005+Q1009+Q1017+Q1019+Q1022</f>
        <v>5544.71537</v>
      </c>
      <c r="R974" s="483">
        <f>R978+R986+R989+R994+R1000+R1005+R1009+R1017+R1019+R1022</f>
        <v>5504.08054</v>
      </c>
      <c r="S974" s="484">
        <f t="shared" si="178"/>
        <v>99.26714308511025</v>
      </c>
    </row>
    <row r="975" spans="1:19" ht="12.75" hidden="1">
      <c r="A975" s="109" t="s">
        <v>208</v>
      </c>
      <c r="B975" s="99" t="s">
        <v>299</v>
      </c>
      <c r="C975" s="112" t="s">
        <v>255</v>
      </c>
      <c r="D975" s="112" t="s">
        <v>454</v>
      </c>
      <c r="E975" s="112" t="s">
        <v>292</v>
      </c>
      <c r="F975" s="104" t="s">
        <v>209</v>
      </c>
      <c r="G975" s="88" t="e">
        <f>G978+G986+G989+G994+G1000+G1005+G1009+G1017+#REF!+G1019</f>
        <v>#REF!</v>
      </c>
      <c r="H975" s="55" t="e">
        <f>H978+H986+H989+H994+H1000+H1005+H1009+H1017+#REF!+H1019</f>
        <v>#REF!</v>
      </c>
      <c r="I975" s="55" t="e">
        <f>I978+I986+I989+I994+I1000+I1005+I1009+I1017+#REF!+I1019</f>
        <v>#REF!</v>
      </c>
      <c r="J975" s="88" t="e">
        <f>J978+J986+J989+J994+J1000+J1005+J1009+J1017+#REF!+J1019</f>
        <v>#REF!</v>
      </c>
      <c r="K975" s="290" t="e">
        <f>K978+K986+K989+K994+K1000+K1005+K1009+K1017+#REF!+K1019</f>
        <v>#REF!</v>
      </c>
      <c r="L975" s="313"/>
      <c r="M975" s="75"/>
      <c r="N975" s="96"/>
      <c r="O975" s="96"/>
      <c r="P975" s="287"/>
      <c r="Q975" s="480"/>
      <c r="R975" s="480"/>
      <c r="S975" s="481" t="e">
        <f aca="true" t="shared" si="195" ref="S975:S1037">R975/Q975*100</f>
        <v>#DIV/0!</v>
      </c>
    </row>
    <row r="976" spans="1:19" ht="19.5" customHeight="1" hidden="1">
      <c r="A976" s="46" t="s">
        <v>210</v>
      </c>
      <c r="B976" s="71" t="s">
        <v>299</v>
      </c>
      <c r="C976" s="76" t="s">
        <v>255</v>
      </c>
      <c r="D976" s="76" t="s">
        <v>454</v>
      </c>
      <c r="E976" s="76" t="s">
        <v>292</v>
      </c>
      <c r="F976" s="78" t="s">
        <v>209</v>
      </c>
      <c r="G976" s="96" t="e">
        <f>G977+#REF!+#REF!+#REF!</f>
        <v>#REF!</v>
      </c>
      <c r="H976" s="75" t="e">
        <f>H977+#REF!+#REF!+#REF!</f>
        <v>#REF!</v>
      </c>
      <c r="I976" s="75" t="e">
        <f>I977+#REF!+#REF!+#REF!</f>
        <v>#REF!</v>
      </c>
      <c r="J976" s="96" t="e">
        <f>J977+#REF!+#REF!+#REF!</f>
        <v>#REF!</v>
      </c>
      <c r="K976" s="287" t="e">
        <f>K977+#REF!+#REF!+#REF!</f>
        <v>#REF!</v>
      </c>
      <c r="L976" s="313"/>
      <c r="M976" s="75"/>
      <c r="N976" s="96"/>
      <c r="O976" s="96"/>
      <c r="P976" s="287"/>
      <c r="Q976" s="449"/>
      <c r="R976" s="449"/>
      <c r="S976" s="465" t="e">
        <f t="shared" si="195"/>
        <v>#DIV/0!</v>
      </c>
    </row>
    <row r="977" spans="1:19" ht="19.5" customHeight="1" hidden="1">
      <c r="A977" s="46" t="s">
        <v>222</v>
      </c>
      <c r="B977" s="71" t="s">
        <v>299</v>
      </c>
      <c r="C977" s="76" t="s">
        <v>255</v>
      </c>
      <c r="D977" s="76" t="s">
        <v>454</v>
      </c>
      <c r="E977" s="76" t="s">
        <v>292</v>
      </c>
      <c r="F977" s="78" t="s">
        <v>209</v>
      </c>
      <c r="G977" s="96">
        <f>SUM(G978:G1019)</f>
        <v>10355</v>
      </c>
      <c r="H977" s="75">
        <f>SUM(H978:H1019)</f>
        <v>12455</v>
      </c>
      <c r="I977" s="75">
        <f>SUM(I978:I1019)</f>
        <v>4100</v>
      </c>
      <c r="J977" s="96">
        <f>SUM(J978:J1019)</f>
        <v>4977.61074</v>
      </c>
      <c r="K977" s="287">
        <f>SUM(K978:K1019)</f>
        <v>12547.61074</v>
      </c>
      <c r="L977" s="313"/>
      <c r="M977" s="75"/>
      <c r="N977" s="96"/>
      <c r="O977" s="96"/>
      <c r="P977" s="287"/>
      <c r="Q977" s="449"/>
      <c r="R977" s="449"/>
      <c r="S977" s="465" t="e">
        <f t="shared" si="195"/>
        <v>#DIV/0!</v>
      </c>
    </row>
    <row r="978" spans="1:19" ht="30" customHeight="1">
      <c r="A978" s="46" t="s">
        <v>167</v>
      </c>
      <c r="B978" s="71" t="s">
        <v>299</v>
      </c>
      <c r="C978" s="72" t="s">
        <v>255</v>
      </c>
      <c r="D978" s="72" t="s">
        <v>454</v>
      </c>
      <c r="E978" s="72" t="s">
        <v>461</v>
      </c>
      <c r="F978" s="74"/>
      <c r="G978" s="96">
        <f>G979+G983</f>
        <v>1000</v>
      </c>
      <c r="H978" s="75">
        <f>H979+H983</f>
        <v>1000</v>
      </c>
      <c r="I978" s="75">
        <f>I979+I983</f>
        <v>0</v>
      </c>
      <c r="J978" s="96">
        <f>J979+J983</f>
        <v>0</v>
      </c>
      <c r="K978" s="287">
        <f aca="true" t="shared" si="196" ref="K978:Q978">K983</f>
        <v>1000</v>
      </c>
      <c r="L978" s="287">
        <f t="shared" si="196"/>
        <v>0</v>
      </c>
      <c r="M978" s="287">
        <f t="shared" si="196"/>
        <v>0</v>
      </c>
      <c r="N978" s="287">
        <f t="shared" si="196"/>
        <v>1000</v>
      </c>
      <c r="O978" s="287">
        <f t="shared" si="196"/>
        <v>0</v>
      </c>
      <c r="P978" s="287">
        <f t="shared" si="196"/>
        <v>0</v>
      </c>
      <c r="Q978" s="449">
        <f t="shared" si="196"/>
        <v>1000</v>
      </c>
      <c r="R978" s="449">
        <f>R983</f>
        <v>999.948</v>
      </c>
      <c r="S978" s="465">
        <f t="shared" si="195"/>
        <v>99.9948</v>
      </c>
    </row>
    <row r="979" spans="1:19" ht="12.75" hidden="1">
      <c r="A979" s="46" t="s">
        <v>208</v>
      </c>
      <c r="B979" s="71" t="s">
        <v>299</v>
      </c>
      <c r="C979" s="76" t="s">
        <v>255</v>
      </c>
      <c r="D979" s="76" t="s">
        <v>454</v>
      </c>
      <c r="E979" s="76" t="s">
        <v>461</v>
      </c>
      <c r="F979" s="78" t="s">
        <v>209</v>
      </c>
      <c r="G979" s="89">
        <f>G980+G981+G982</f>
        <v>0</v>
      </c>
      <c r="H979" s="82">
        <f>H980+H981+H982</f>
        <v>0</v>
      </c>
      <c r="I979" s="82">
        <f>I980+I981+I982</f>
        <v>0</v>
      </c>
      <c r="J979" s="89">
        <f>J980+J981+J982</f>
        <v>0</v>
      </c>
      <c r="K979" s="275">
        <f>K980+K981+K982</f>
        <v>0</v>
      </c>
      <c r="L979" s="315"/>
      <c r="M979" s="82"/>
      <c r="N979" s="89"/>
      <c r="O979" s="89"/>
      <c r="P979" s="275"/>
      <c r="Q979" s="448"/>
      <c r="R979" s="448"/>
      <c r="S979" s="465" t="e">
        <f t="shared" si="195"/>
        <v>#DIV/0!</v>
      </c>
    </row>
    <row r="980" spans="1:19" ht="12.75" hidden="1">
      <c r="A980" s="46"/>
      <c r="B980" s="71"/>
      <c r="C980" s="76"/>
      <c r="D980" s="76"/>
      <c r="E980" s="76"/>
      <c r="F980" s="78" t="s">
        <v>235</v>
      </c>
      <c r="G980" s="89"/>
      <c r="H980" s="82"/>
      <c r="I980" s="82"/>
      <c r="J980" s="89"/>
      <c r="K980" s="275"/>
      <c r="L980" s="315"/>
      <c r="M980" s="82"/>
      <c r="N980" s="89"/>
      <c r="O980" s="89"/>
      <c r="P980" s="275"/>
      <c r="Q980" s="448"/>
      <c r="R980" s="448"/>
      <c r="S980" s="465" t="e">
        <f t="shared" si="195"/>
        <v>#DIV/0!</v>
      </c>
    </row>
    <row r="981" spans="1:19" ht="12.75" hidden="1">
      <c r="A981" s="46"/>
      <c r="B981" s="71"/>
      <c r="C981" s="76"/>
      <c r="D981" s="76"/>
      <c r="E981" s="76"/>
      <c r="F981" s="78" t="s">
        <v>236</v>
      </c>
      <c r="G981" s="89"/>
      <c r="H981" s="82"/>
      <c r="I981" s="82"/>
      <c r="J981" s="89"/>
      <c r="K981" s="275"/>
      <c r="L981" s="315"/>
      <c r="M981" s="82"/>
      <c r="N981" s="89"/>
      <c r="O981" s="89"/>
      <c r="P981" s="275"/>
      <c r="Q981" s="448"/>
      <c r="R981" s="448"/>
      <c r="S981" s="465" t="e">
        <f t="shared" si="195"/>
        <v>#DIV/0!</v>
      </c>
    </row>
    <row r="982" spans="1:19" ht="12.75" hidden="1">
      <c r="A982" s="46"/>
      <c r="B982" s="71"/>
      <c r="C982" s="76"/>
      <c r="D982" s="76"/>
      <c r="E982" s="76"/>
      <c r="F982" s="78" t="s">
        <v>239</v>
      </c>
      <c r="G982" s="89"/>
      <c r="H982" s="82"/>
      <c r="I982" s="82"/>
      <c r="J982" s="89"/>
      <c r="K982" s="275"/>
      <c r="L982" s="315"/>
      <c r="M982" s="82"/>
      <c r="N982" s="89"/>
      <c r="O982" s="89"/>
      <c r="P982" s="275"/>
      <c r="Q982" s="448"/>
      <c r="R982" s="448"/>
      <c r="S982" s="465" t="e">
        <f t="shared" si="195"/>
        <v>#DIV/0!</v>
      </c>
    </row>
    <row r="983" spans="1:19" ht="15.75" customHeight="1">
      <c r="A983" s="213" t="s">
        <v>120</v>
      </c>
      <c r="B983" s="141" t="s">
        <v>299</v>
      </c>
      <c r="C983" s="76" t="s">
        <v>462</v>
      </c>
      <c r="D983" s="76" t="s">
        <v>454</v>
      </c>
      <c r="E983" s="76" t="s">
        <v>461</v>
      </c>
      <c r="F983" s="78" t="s">
        <v>112</v>
      </c>
      <c r="G983" s="89">
        <f>G984+G985</f>
        <v>1000</v>
      </c>
      <c r="H983" s="82">
        <f>H984+H985</f>
        <v>1000</v>
      </c>
      <c r="I983" s="82">
        <f>I984+I985</f>
        <v>0</v>
      </c>
      <c r="J983" s="89"/>
      <c r="K983" s="275">
        <v>1000</v>
      </c>
      <c r="L983" s="315"/>
      <c r="M983" s="82"/>
      <c r="N983" s="89">
        <f>K983+L983+M983</f>
        <v>1000</v>
      </c>
      <c r="O983" s="89"/>
      <c r="P983" s="275"/>
      <c r="Q983" s="448">
        <f>N983+O983+P983</f>
        <v>1000</v>
      </c>
      <c r="R983" s="448">
        <v>999.948</v>
      </c>
      <c r="S983" s="444">
        <f t="shared" si="195"/>
        <v>99.9948</v>
      </c>
    </row>
    <row r="984" spans="1:19" ht="12.75" hidden="1">
      <c r="A984" s="46"/>
      <c r="B984" s="71"/>
      <c r="C984" s="76"/>
      <c r="D984" s="76"/>
      <c r="E984" s="76"/>
      <c r="F984" s="78" t="s">
        <v>235</v>
      </c>
      <c r="G984" s="89">
        <v>1000</v>
      </c>
      <c r="H984" s="82">
        <v>1000</v>
      </c>
      <c r="I984" s="82"/>
      <c r="J984" s="89">
        <v>1000</v>
      </c>
      <c r="K984" s="275">
        <v>1000</v>
      </c>
      <c r="L984" s="315"/>
      <c r="M984" s="82"/>
      <c r="N984" s="89"/>
      <c r="O984" s="89"/>
      <c r="P984" s="275"/>
      <c r="Q984" s="448"/>
      <c r="R984" s="448"/>
      <c r="S984" s="465" t="e">
        <f t="shared" si="195"/>
        <v>#DIV/0!</v>
      </c>
    </row>
    <row r="985" spans="1:19" ht="12.75" hidden="1">
      <c r="A985" s="46"/>
      <c r="B985" s="71"/>
      <c r="C985" s="76"/>
      <c r="D985" s="76"/>
      <c r="E985" s="76"/>
      <c r="F985" s="78" t="s">
        <v>236</v>
      </c>
      <c r="G985" s="89"/>
      <c r="H985" s="82"/>
      <c r="I985" s="82"/>
      <c r="J985" s="89"/>
      <c r="K985" s="275"/>
      <c r="L985" s="315"/>
      <c r="M985" s="82"/>
      <c r="N985" s="89"/>
      <c r="O985" s="89"/>
      <c r="P985" s="275"/>
      <c r="Q985" s="448"/>
      <c r="R985" s="448"/>
      <c r="S985" s="465" t="e">
        <f t="shared" si="195"/>
        <v>#DIV/0!</v>
      </c>
    </row>
    <row r="986" spans="1:19" ht="30.75" customHeight="1">
      <c r="A986" s="45" t="s">
        <v>168</v>
      </c>
      <c r="B986" s="71" t="s">
        <v>299</v>
      </c>
      <c r="C986" s="72" t="s">
        <v>255</v>
      </c>
      <c r="D986" s="72" t="s">
        <v>454</v>
      </c>
      <c r="E986" s="72" t="s">
        <v>463</v>
      </c>
      <c r="F986" s="74"/>
      <c r="G986" s="96">
        <f aca="true" t="shared" si="197" ref="G986:R987">G987</f>
        <v>485</v>
      </c>
      <c r="H986" s="75">
        <f t="shared" si="197"/>
        <v>485</v>
      </c>
      <c r="I986" s="75">
        <f t="shared" si="197"/>
        <v>0</v>
      </c>
      <c r="J986" s="96">
        <f t="shared" si="197"/>
        <v>-325</v>
      </c>
      <c r="K986" s="287">
        <f t="shared" si="197"/>
        <v>160</v>
      </c>
      <c r="L986" s="287">
        <f t="shared" si="197"/>
        <v>0</v>
      </c>
      <c r="M986" s="287">
        <f t="shared" si="197"/>
        <v>0</v>
      </c>
      <c r="N986" s="287">
        <f t="shared" si="197"/>
        <v>160</v>
      </c>
      <c r="O986" s="287">
        <f t="shared" si="197"/>
        <v>0</v>
      </c>
      <c r="P986" s="287">
        <f t="shared" si="197"/>
        <v>0</v>
      </c>
      <c r="Q986" s="449">
        <f t="shared" si="197"/>
        <v>160</v>
      </c>
      <c r="R986" s="449">
        <f t="shared" si="197"/>
        <v>160</v>
      </c>
      <c r="S986" s="465">
        <f t="shared" si="195"/>
        <v>100</v>
      </c>
    </row>
    <row r="987" spans="1:19" ht="15.75" customHeight="1">
      <c r="A987" s="213" t="s">
        <v>120</v>
      </c>
      <c r="B987" s="141" t="s">
        <v>299</v>
      </c>
      <c r="C987" s="76" t="s">
        <v>255</v>
      </c>
      <c r="D987" s="76" t="s">
        <v>454</v>
      </c>
      <c r="E987" s="76" t="s">
        <v>463</v>
      </c>
      <c r="F987" s="78" t="s">
        <v>112</v>
      </c>
      <c r="G987" s="89">
        <f t="shared" si="197"/>
        <v>485</v>
      </c>
      <c r="H987" s="82">
        <f t="shared" si="197"/>
        <v>485</v>
      </c>
      <c r="I987" s="82">
        <f t="shared" si="197"/>
        <v>0</v>
      </c>
      <c r="J987" s="89">
        <v>-325</v>
      </c>
      <c r="K987" s="275">
        <v>160</v>
      </c>
      <c r="L987" s="315"/>
      <c r="M987" s="82"/>
      <c r="N987" s="89">
        <f>K987+L987+M987</f>
        <v>160</v>
      </c>
      <c r="O987" s="89">
        <f>-20+20</f>
        <v>0</v>
      </c>
      <c r="P987" s="275"/>
      <c r="Q987" s="448">
        <f>N987+O987+P987</f>
        <v>160</v>
      </c>
      <c r="R987" s="448">
        <v>160</v>
      </c>
      <c r="S987" s="444">
        <f t="shared" si="195"/>
        <v>100</v>
      </c>
    </row>
    <row r="988" spans="1:19" ht="16.5" customHeight="1" hidden="1">
      <c r="A988" s="46"/>
      <c r="B988" s="71"/>
      <c r="C988" s="76"/>
      <c r="D988" s="76"/>
      <c r="E988" s="76"/>
      <c r="F988" s="78" t="s">
        <v>236</v>
      </c>
      <c r="G988" s="89">
        <v>485</v>
      </c>
      <c r="H988" s="82">
        <v>485</v>
      </c>
      <c r="I988" s="82"/>
      <c r="J988" s="89">
        <v>485</v>
      </c>
      <c r="K988" s="275">
        <v>485</v>
      </c>
      <c r="L988" s="315"/>
      <c r="M988" s="82"/>
      <c r="N988" s="89"/>
      <c r="O988" s="89"/>
      <c r="P988" s="275"/>
      <c r="Q988" s="448"/>
      <c r="R988" s="448"/>
      <c r="S988" s="459" t="e">
        <f t="shared" si="195"/>
        <v>#DIV/0!</v>
      </c>
    </row>
    <row r="989" spans="1:19" ht="31.5" customHeight="1">
      <c r="A989" s="46" t="s">
        <v>169</v>
      </c>
      <c r="B989" s="71" t="s">
        <v>299</v>
      </c>
      <c r="C989" s="72" t="s">
        <v>255</v>
      </c>
      <c r="D989" s="72" t="s">
        <v>454</v>
      </c>
      <c r="E989" s="72" t="s">
        <v>464</v>
      </c>
      <c r="F989" s="74"/>
      <c r="G989" s="96">
        <f>G990+G992</f>
        <v>400</v>
      </c>
      <c r="H989" s="75">
        <f>H990+H992</f>
        <v>650</v>
      </c>
      <c r="I989" s="75">
        <f>I990+I992</f>
        <v>0</v>
      </c>
      <c r="J989" s="96">
        <f>J990+J992</f>
        <v>0</v>
      </c>
      <c r="K989" s="287">
        <f aca="true" t="shared" si="198" ref="K989:R989">K990</f>
        <v>400</v>
      </c>
      <c r="L989" s="287">
        <f t="shared" si="198"/>
        <v>-200</v>
      </c>
      <c r="M989" s="287">
        <f t="shared" si="198"/>
        <v>0</v>
      </c>
      <c r="N989" s="287">
        <f t="shared" si="198"/>
        <v>200</v>
      </c>
      <c r="O989" s="287">
        <f t="shared" si="198"/>
        <v>0</v>
      </c>
      <c r="P989" s="287">
        <f t="shared" si="198"/>
        <v>0</v>
      </c>
      <c r="Q989" s="449">
        <f t="shared" si="198"/>
        <v>200</v>
      </c>
      <c r="R989" s="449">
        <f t="shared" si="198"/>
        <v>199.996</v>
      </c>
      <c r="S989" s="465">
        <f t="shared" si="195"/>
        <v>99.998</v>
      </c>
    </row>
    <row r="990" spans="1:19" ht="15.75" customHeight="1">
      <c r="A990" s="213" t="s">
        <v>120</v>
      </c>
      <c r="B990" s="141" t="s">
        <v>299</v>
      </c>
      <c r="C990" s="76" t="s">
        <v>255</v>
      </c>
      <c r="D990" s="76" t="s">
        <v>454</v>
      </c>
      <c r="E990" s="76" t="s">
        <v>464</v>
      </c>
      <c r="F990" s="78" t="s">
        <v>112</v>
      </c>
      <c r="G990" s="89">
        <f>G991</f>
        <v>400</v>
      </c>
      <c r="H990" s="82">
        <f>H991</f>
        <v>650</v>
      </c>
      <c r="I990" s="82">
        <f>I991</f>
        <v>0</v>
      </c>
      <c r="J990" s="89"/>
      <c r="K990" s="275">
        <v>400</v>
      </c>
      <c r="L990" s="319">
        <v>-200</v>
      </c>
      <c r="M990" s="82"/>
      <c r="N990" s="89">
        <f>K990+L990+M990</f>
        <v>200</v>
      </c>
      <c r="O990" s="89"/>
      <c r="P990" s="275"/>
      <c r="Q990" s="448">
        <f>N990+O990+P990</f>
        <v>200</v>
      </c>
      <c r="R990" s="448">
        <v>199.996</v>
      </c>
      <c r="S990" s="444">
        <f t="shared" si="195"/>
        <v>99.998</v>
      </c>
    </row>
    <row r="991" spans="1:19" ht="12.75" hidden="1">
      <c r="A991" s="46"/>
      <c r="B991" s="71"/>
      <c r="C991" s="76"/>
      <c r="D991" s="76"/>
      <c r="E991" s="76"/>
      <c r="F991" s="78" t="s">
        <v>235</v>
      </c>
      <c r="G991" s="89">
        <v>400</v>
      </c>
      <c r="H991" s="82">
        <v>650</v>
      </c>
      <c r="I991" s="82"/>
      <c r="J991" s="89">
        <v>400</v>
      </c>
      <c r="K991" s="275">
        <v>400</v>
      </c>
      <c r="L991" s="315"/>
      <c r="M991" s="82"/>
      <c r="N991" s="89"/>
      <c r="O991" s="89"/>
      <c r="P991" s="275"/>
      <c r="Q991" s="448"/>
      <c r="R991" s="448"/>
      <c r="S991" s="465" t="e">
        <f t="shared" si="195"/>
        <v>#DIV/0!</v>
      </c>
    </row>
    <row r="992" spans="1:19" ht="12.75" hidden="1">
      <c r="A992" s="46" t="s">
        <v>402</v>
      </c>
      <c r="B992" s="71" t="s">
        <v>299</v>
      </c>
      <c r="C992" s="76" t="s">
        <v>255</v>
      </c>
      <c r="D992" s="76" t="s">
        <v>454</v>
      </c>
      <c r="E992" s="76" t="s">
        <v>464</v>
      </c>
      <c r="F992" s="78" t="s">
        <v>403</v>
      </c>
      <c r="G992" s="89">
        <f>G993</f>
        <v>0</v>
      </c>
      <c r="H992" s="82">
        <f>H993</f>
        <v>0</v>
      </c>
      <c r="I992" s="82">
        <f>I993</f>
        <v>0</v>
      </c>
      <c r="J992" s="89">
        <f>J993</f>
        <v>0</v>
      </c>
      <c r="K992" s="275">
        <f>K993</f>
        <v>0</v>
      </c>
      <c r="L992" s="315"/>
      <c r="M992" s="82"/>
      <c r="N992" s="89"/>
      <c r="O992" s="89"/>
      <c r="P992" s="275"/>
      <c r="Q992" s="448"/>
      <c r="R992" s="448"/>
      <c r="S992" s="465" t="e">
        <f t="shared" si="195"/>
        <v>#DIV/0!</v>
      </c>
    </row>
    <row r="993" spans="1:19" ht="12.75" hidden="1">
      <c r="A993" s="46"/>
      <c r="B993" s="71"/>
      <c r="C993" s="76"/>
      <c r="D993" s="76"/>
      <c r="E993" s="76"/>
      <c r="F993" s="78" t="s">
        <v>235</v>
      </c>
      <c r="G993" s="89"/>
      <c r="H993" s="82"/>
      <c r="I993" s="82"/>
      <c r="J993" s="89"/>
      <c r="K993" s="275"/>
      <c r="L993" s="315"/>
      <c r="M993" s="82"/>
      <c r="N993" s="89"/>
      <c r="O993" s="89"/>
      <c r="P993" s="275"/>
      <c r="Q993" s="448"/>
      <c r="R993" s="448"/>
      <c r="S993" s="465" t="e">
        <f t="shared" si="195"/>
        <v>#DIV/0!</v>
      </c>
    </row>
    <row r="994" spans="1:19" ht="38.25">
      <c r="A994" s="46" t="s">
        <v>170</v>
      </c>
      <c r="B994" s="71" t="s">
        <v>299</v>
      </c>
      <c r="C994" s="72" t="s">
        <v>255</v>
      </c>
      <c r="D994" s="72" t="s">
        <v>454</v>
      </c>
      <c r="E994" s="72" t="s">
        <v>465</v>
      </c>
      <c r="F994" s="74"/>
      <c r="G994" s="96">
        <f aca="true" t="shared" si="199" ref="G994:R994">G995</f>
        <v>200</v>
      </c>
      <c r="H994" s="75">
        <f t="shared" si="199"/>
        <v>300</v>
      </c>
      <c r="I994" s="75">
        <f t="shared" si="199"/>
        <v>0</v>
      </c>
      <c r="J994" s="96">
        <f t="shared" si="199"/>
        <v>0</v>
      </c>
      <c r="K994" s="287">
        <f t="shared" si="199"/>
        <v>200</v>
      </c>
      <c r="L994" s="287">
        <f t="shared" si="199"/>
        <v>0</v>
      </c>
      <c r="M994" s="287">
        <f t="shared" si="199"/>
        <v>0</v>
      </c>
      <c r="N994" s="287">
        <f t="shared" si="199"/>
        <v>200</v>
      </c>
      <c r="O994" s="287">
        <f t="shared" si="199"/>
        <v>0</v>
      </c>
      <c r="P994" s="287">
        <f t="shared" si="199"/>
        <v>0</v>
      </c>
      <c r="Q994" s="449">
        <f t="shared" si="199"/>
        <v>200</v>
      </c>
      <c r="R994" s="449">
        <f t="shared" si="199"/>
        <v>199.84176</v>
      </c>
      <c r="S994" s="465">
        <f t="shared" si="195"/>
        <v>99.92088</v>
      </c>
    </row>
    <row r="995" spans="1:19" ht="15.75" customHeight="1">
      <c r="A995" s="192" t="s">
        <v>120</v>
      </c>
      <c r="B995" s="141" t="s">
        <v>299</v>
      </c>
      <c r="C995" s="76" t="s">
        <v>255</v>
      </c>
      <c r="D995" s="76" t="s">
        <v>454</v>
      </c>
      <c r="E995" s="76" t="s">
        <v>465</v>
      </c>
      <c r="F995" s="78" t="s">
        <v>112</v>
      </c>
      <c r="G995" s="89">
        <f>G996+G997+G998+G999</f>
        <v>200</v>
      </c>
      <c r="H995" s="82">
        <f>H996+H997+H998+H999</f>
        <v>300</v>
      </c>
      <c r="I995" s="82">
        <f>I996+I997+I998+I999</f>
        <v>0</v>
      </c>
      <c r="J995" s="89"/>
      <c r="K995" s="275">
        <v>200</v>
      </c>
      <c r="L995" s="315"/>
      <c r="M995" s="82"/>
      <c r="N995" s="89">
        <f>K995+L995+M995</f>
        <v>200</v>
      </c>
      <c r="O995" s="89"/>
      <c r="P995" s="275"/>
      <c r="Q995" s="448">
        <f>N995+O995+P995</f>
        <v>200</v>
      </c>
      <c r="R995" s="448">
        <v>199.84176</v>
      </c>
      <c r="S995" s="444">
        <f t="shared" si="195"/>
        <v>99.92088</v>
      </c>
    </row>
    <row r="996" spans="1:19" ht="12.75" hidden="1">
      <c r="A996" s="46"/>
      <c r="B996" s="71"/>
      <c r="C996" s="76"/>
      <c r="D996" s="76"/>
      <c r="E996" s="76"/>
      <c r="F996" s="78" t="s">
        <v>235</v>
      </c>
      <c r="G996" s="89"/>
      <c r="H996" s="82"/>
      <c r="I996" s="82"/>
      <c r="J996" s="89"/>
      <c r="K996" s="275"/>
      <c r="L996" s="315"/>
      <c r="M996" s="82"/>
      <c r="N996" s="89"/>
      <c r="O996" s="89"/>
      <c r="P996" s="275"/>
      <c r="Q996" s="448"/>
      <c r="R996" s="448"/>
      <c r="S996" s="465" t="e">
        <f t="shared" si="195"/>
        <v>#DIV/0!</v>
      </c>
    </row>
    <row r="997" spans="1:19" ht="12.75" hidden="1">
      <c r="A997" s="46"/>
      <c r="B997" s="71"/>
      <c r="C997" s="76"/>
      <c r="D997" s="76"/>
      <c r="E997" s="76"/>
      <c r="F997" s="78" t="s">
        <v>236</v>
      </c>
      <c r="G997" s="89">
        <v>200</v>
      </c>
      <c r="H997" s="82">
        <v>300</v>
      </c>
      <c r="I997" s="82"/>
      <c r="J997" s="89">
        <v>200</v>
      </c>
      <c r="K997" s="275">
        <v>200</v>
      </c>
      <c r="L997" s="315"/>
      <c r="M997" s="82"/>
      <c r="N997" s="89"/>
      <c r="O997" s="89"/>
      <c r="P997" s="275"/>
      <c r="Q997" s="448"/>
      <c r="R997" s="448"/>
      <c r="S997" s="465" t="e">
        <f t="shared" si="195"/>
        <v>#DIV/0!</v>
      </c>
    </row>
    <row r="998" spans="1:19" ht="12.75" hidden="1">
      <c r="A998" s="46"/>
      <c r="B998" s="71"/>
      <c r="C998" s="76"/>
      <c r="D998" s="76"/>
      <c r="E998" s="76"/>
      <c r="F998" s="78" t="s">
        <v>237</v>
      </c>
      <c r="G998" s="89"/>
      <c r="H998" s="82"/>
      <c r="I998" s="82"/>
      <c r="J998" s="89"/>
      <c r="K998" s="275"/>
      <c r="L998" s="315"/>
      <c r="M998" s="82"/>
      <c r="N998" s="89"/>
      <c r="O998" s="89"/>
      <c r="P998" s="275"/>
      <c r="Q998" s="448"/>
      <c r="R998" s="448"/>
      <c r="S998" s="465" t="e">
        <f t="shared" si="195"/>
        <v>#DIV/0!</v>
      </c>
    </row>
    <row r="999" spans="1:19" ht="12.75" hidden="1">
      <c r="A999" s="46"/>
      <c r="B999" s="71"/>
      <c r="C999" s="76"/>
      <c r="D999" s="76"/>
      <c r="E999" s="76"/>
      <c r="F999" s="78" t="s">
        <v>239</v>
      </c>
      <c r="G999" s="89"/>
      <c r="H999" s="82"/>
      <c r="I999" s="82"/>
      <c r="J999" s="89"/>
      <c r="K999" s="275"/>
      <c r="L999" s="315"/>
      <c r="M999" s="82"/>
      <c r="N999" s="89"/>
      <c r="O999" s="89"/>
      <c r="P999" s="275"/>
      <c r="Q999" s="448"/>
      <c r="R999" s="448"/>
      <c r="S999" s="465" t="e">
        <f t="shared" si="195"/>
        <v>#DIV/0!</v>
      </c>
    </row>
    <row r="1000" spans="1:19" ht="28.5" customHeight="1">
      <c r="A1000" s="39" t="s">
        <v>171</v>
      </c>
      <c r="B1000" s="71" t="s">
        <v>299</v>
      </c>
      <c r="C1000" s="72" t="s">
        <v>255</v>
      </c>
      <c r="D1000" s="72" t="s">
        <v>454</v>
      </c>
      <c r="E1000" s="72" t="s">
        <v>466</v>
      </c>
      <c r="F1000" s="74"/>
      <c r="G1000" s="96">
        <f>G1001</f>
        <v>100</v>
      </c>
      <c r="H1000" s="75">
        <f>H1001</f>
        <v>100</v>
      </c>
      <c r="I1000" s="75">
        <f>I1001</f>
        <v>0</v>
      </c>
      <c r="J1000" s="96">
        <f>J1001</f>
        <v>8.7</v>
      </c>
      <c r="K1000" s="287">
        <f aca="true" t="shared" si="200" ref="K1000:Q1000">K1001+K1004</f>
        <v>108.7</v>
      </c>
      <c r="L1000" s="287">
        <f t="shared" si="200"/>
        <v>0</v>
      </c>
      <c r="M1000" s="287">
        <f t="shared" si="200"/>
        <v>0</v>
      </c>
      <c r="N1000" s="287">
        <f t="shared" si="200"/>
        <v>108.7</v>
      </c>
      <c r="O1000" s="287">
        <f t="shared" si="200"/>
        <v>0</v>
      </c>
      <c r="P1000" s="287">
        <f t="shared" si="200"/>
        <v>0</v>
      </c>
      <c r="Q1000" s="449">
        <f t="shared" si="200"/>
        <v>108.7</v>
      </c>
      <c r="R1000" s="449">
        <f>R1001+R1004</f>
        <v>105.8</v>
      </c>
      <c r="S1000" s="465">
        <f t="shared" si="195"/>
        <v>97.33210671573137</v>
      </c>
    </row>
    <row r="1001" spans="1:19" ht="15.75" customHeight="1">
      <c r="A1001" s="181" t="s">
        <v>109</v>
      </c>
      <c r="B1001" s="141" t="s">
        <v>299</v>
      </c>
      <c r="C1001" s="76" t="s">
        <v>255</v>
      </c>
      <c r="D1001" s="76" t="s">
        <v>454</v>
      </c>
      <c r="E1001" s="76" t="s">
        <v>466</v>
      </c>
      <c r="F1001" s="78" t="s">
        <v>106</v>
      </c>
      <c r="G1001" s="89">
        <f>G1002+G1003</f>
        <v>100</v>
      </c>
      <c r="H1001" s="82">
        <f>H1002+H1003</f>
        <v>100</v>
      </c>
      <c r="I1001" s="82">
        <f>I1002+I1003</f>
        <v>0</v>
      </c>
      <c r="J1001" s="89">
        <v>8.7</v>
      </c>
      <c r="K1001" s="275">
        <v>8.7</v>
      </c>
      <c r="L1001" s="315"/>
      <c r="M1001" s="82"/>
      <c r="N1001" s="89">
        <f>K1001+L1001+M1001</f>
        <v>8.7</v>
      </c>
      <c r="O1001" s="89"/>
      <c r="P1001" s="275"/>
      <c r="Q1001" s="448">
        <f aca="true" t="shared" si="201" ref="Q1001:R1004">N1001+O1001+P1001</f>
        <v>8.7</v>
      </c>
      <c r="R1001" s="448">
        <v>8.7</v>
      </c>
      <c r="S1001" s="444">
        <f t="shared" si="195"/>
        <v>100</v>
      </c>
    </row>
    <row r="1002" spans="1:19" ht="12.75" hidden="1">
      <c r="A1002" s="46"/>
      <c r="B1002" s="71"/>
      <c r="C1002" s="76"/>
      <c r="D1002" s="76"/>
      <c r="E1002" s="76"/>
      <c r="F1002" s="78" t="s">
        <v>237</v>
      </c>
      <c r="G1002" s="89">
        <v>100</v>
      </c>
      <c r="H1002" s="82">
        <v>100</v>
      </c>
      <c r="I1002" s="82"/>
      <c r="J1002" s="89">
        <v>100</v>
      </c>
      <c r="K1002" s="275">
        <v>100</v>
      </c>
      <c r="L1002" s="315"/>
      <c r="M1002" s="82"/>
      <c r="N1002" s="89">
        <f>K1002+L1002+M1002</f>
        <v>100</v>
      </c>
      <c r="O1002" s="89">
        <f>L1002+M1002+N1002</f>
        <v>100</v>
      </c>
      <c r="P1002" s="275">
        <f>M1002+N1002+O1002</f>
        <v>200</v>
      </c>
      <c r="Q1002" s="448">
        <f t="shared" si="201"/>
        <v>400</v>
      </c>
      <c r="R1002" s="448">
        <f t="shared" si="201"/>
        <v>700</v>
      </c>
      <c r="S1002" s="444">
        <f t="shared" si="195"/>
        <v>175</v>
      </c>
    </row>
    <row r="1003" spans="1:19" ht="12.75" hidden="1">
      <c r="A1003" s="46"/>
      <c r="B1003" s="71"/>
      <c r="C1003" s="76"/>
      <c r="D1003" s="76"/>
      <c r="E1003" s="76"/>
      <c r="F1003" s="78" t="s">
        <v>239</v>
      </c>
      <c r="G1003" s="89"/>
      <c r="H1003" s="82"/>
      <c r="I1003" s="82"/>
      <c r="J1003" s="89"/>
      <c r="K1003" s="275"/>
      <c r="L1003" s="315"/>
      <c r="M1003" s="82"/>
      <c r="N1003" s="89">
        <f>K1003+L1003+M1003</f>
        <v>0</v>
      </c>
      <c r="O1003" s="89">
        <f>L1003+M1003+N1003</f>
        <v>0</v>
      </c>
      <c r="P1003" s="275">
        <f>M1003+N1003+O1003</f>
        <v>0</v>
      </c>
      <c r="Q1003" s="448">
        <f t="shared" si="201"/>
        <v>0</v>
      </c>
      <c r="R1003" s="448">
        <f t="shared" si="201"/>
        <v>0</v>
      </c>
      <c r="S1003" s="444" t="e">
        <f t="shared" si="195"/>
        <v>#DIV/0!</v>
      </c>
    </row>
    <row r="1004" spans="1:19" ht="15.75" customHeight="1">
      <c r="A1004" s="192" t="s">
        <v>120</v>
      </c>
      <c r="B1004" s="141" t="s">
        <v>299</v>
      </c>
      <c r="C1004" s="76" t="s">
        <v>255</v>
      </c>
      <c r="D1004" s="76" t="s">
        <v>454</v>
      </c>
      <c r="E1004" s="76" t="s">
        <v>466</v>
      </c>
      <c r="F1004" s="78" t="s">
        <v>112</v>
      </c>
      <c r="G1004" s="89"/>
      <c r="H1004" s="82"/>
      <c r="I1004" s="82"/>
      <c r="J1004" s="89"/>
      <c r="K1004" s="275">
        <v>100</v>
      </c>
      <c r="L1004" s="315"/>
      <c r="M1004" s="82"/>
      <c r="N1004" s="89">
        <f>K1004+L1004+M1004</f>
        <v>100</v>
      </c>
      <c r="O1004" s="89"/>
      <c r="P1004" s="275"/>
      <c r="Q1004" s="448">
        <f t="shared" si="201"/>
        <v>100</v>
      </c>
      <c r="R1004" s="448">
        <v>97.1</v>
      </c>
      <c r="S1004" s="444">
        <f t="shared" si="195"/>
        <v>97.1</v>
      </c>
    </row>
    <row r="1005" spans="1:19" ht="16.5" customHeight="1">
      <c r="A1005" s="46" t="s">
        <v>172</v>
      </c>
      <c r="B1005" s="71" t="s">
        <v>299</v>
      </c>
      <c r="C1005" s="72" t="s">
        <v>255</v>
      </c>
      <c r="D1005" s="72" t="s">
        <v>454</v>
      </c>
      <c r="E1005" s="72" t="s">
        <v>467</v>
      </c>
      <c r="F1005" s="74"/>
      <c r="G1005" s="96">
        <f aca="true" t="shared" si="202" ref="G1005:R1005">G1006</f>
        <v>300</v>
      </c>
      <c r="H1005" s="75">
        <f t="shared" si="202"/>
        <v>350</v>
      </c>
      <c r="I1005" s="75">
        <f t="shared" si="202"/>
        <v>0</v>
      </c>
      <c r="J1005" s="96">
        <f t="shared" si="202"/>
        <v>1750.10537</v>
      </c>
      <c r="K1005" s="287">
        <f t="shared" si="202"/>
        <v>2050.10537</v>
      </c>
      <c r="L1005" s="287">
        <f t="shared" si="202"/>
        <v>0</v>
      </c>
      <c r="M1005" s="287">
        <f t="shared" si="202"/>
        <v>0</v>
      </c>
      <c r="N1005" s="287">
        <f t="shared" si="202"/>
        <v>2050.10537</v>
      </c>
      <c r="O1005" s="287">
        <f t="shared" si="202"/>
        <v>0.91</v>
      </c>
      <c r="P1005" s="287">
        <f t="shared" si="202"/>
        <v>0</v>
      </c>
      <c r="Q1005" s="449">
        <f t="shared" si="202"/>
        <v>2051.01537</v>
      </c>
      <c r="R1005" s="449">
        <f t="shared" si="202"/>
        <v>2027.17161</v>
      </c>
      <c r="S1005" s="465">
        <f t="shared" si="195"/>
        <v>98.83746556224004</v>
      </c>
    </row>
    <row r="1006" spans="1:19" ht="15.75" customHeight="1">
      <c r="A1006" s="213" t="s">
        <v>120</v>
      </c>
      <c r="B1006" s="141" t="s">
        <v>299</v>
      </c>
      <c r="C1006" s="76" t="s">
        <v>255</v>
      </c>
      <c r="D1006" s="76" t="s">
        <v>454</v>
      </c>
      <c r="E1006" s="76" t="s">
        <v>467</v>
      </c>
      <c r="F1006" s="78" t="s">
        <v>112</v>
      </c>
      <c r="G1006" s="89">
        <f>G1007+G1008</f>
        <v>300</v>
      </c>
      <c r="H1006" s="82">
        <f>H1007+H1008</f>
        <v>350</v>
      </c>
      <c r="I1006" s="82">
        <f>I1007+I1008</f>
        <v>0</v>
      </c>
      <c r="J1006" s="89">
        <v>1750.10537</v>
      </c>
      <c r="K1006" s="275">
        <f>G1006+J1006</f>
        <v>2050.10537</v>
      </c>
      <c r="L1006" s="315"/>
      <c r="M1006" s="82"/>
      <c r="N1006" s="89">
        <f>K1006+L1006+M1006</f>
        <v>2050.10537</v>
      </c>
      <c r="O1006" s="89">
        <v>0.91</v>
      </c>
      <c r="P1006" s="275"/>
      <c r="Q1006" s="448">
        <f>N1006+O1006+P1006</f>
        <v>2051.01537</v>
      </c>
      <c r="R1006" s="448">
        <v>2027.17161</v>
      </c>
      <c r="S1006" s="444">
        <f t="shared" si="195"/>
        <v>98.83746556224004</v>
      </c>
    </row>
    <row r="1007" spans="1:19" ht="15.75" hidden="1">
      <c r="A1007" s="46"/>
      <c r="B1007" s="71"/>
      <c r="C1007" s="76"/>
      <c r="D1007" s="76"/>
      <c r="E1007" s="76"/>
      <c r="F1007" s="78" t="s">
        <v>236</v>
      </c>
      <c r="G1007" s="89">
        <v>300</v>
      </c>
      <c r="H1007" s="82">
        <v>350</v>
      </c>
      <c r="I1007" s="82"/>
      <c r="J1007" s="89">
        <v>300</v>
      </c>
      <c r="K1007" s="275">
        <v>300</v>
      </c>
      <c r="L1007" s="315"/>
      <c r="M1007" s="82"/>
      <c r="N1007" s="89"/>
      <c r="O1007" s="89"/>
      <c r="P1007" s="275"/>
      <c r="Q1007" s="448"/>
      <c r="R1007" s="448"/>
      <c r="S1007" s="459" t="e">
        <f t="shared" si="195"/>
        <v>#DIV/0!</v>
      </c>
    </row>
    <row r="1008" spans="1:19" ht="15.75" hidden="1">
      <c r="A1008" s="46"/>
      <c r="B1008" s="71"/>
      <c r="C1008" s="76"/>
      <c r="D1008" s="76"/>
      <c r="E1008" s="76"/>
      <c r="F1008" s="78" t="s">
        <v>239</v>
      </c>
      <c r="G1008" s="89"/>
      <c r="H1008" s="82"/>
      <c r="I1008" s="82"/>
      <c r="J1008" s="89"/>
      <c r="K1008" s="275"/>
      <c r="L1008" s="315"/>
      <c r="M1008" s="82"/>
      <c r="N1008" s="89"/>
      <c r="O1008" s="89"/>
      <c r="P1008" s="275"/>
      <c r="Q1008" s="448"/>
      <c r="R1008" s="448"/>
      <c r="S1008" s="459" t="e">
        <f t="shared" si="195"/>
        <v>#DIV/0!</v>
      </c>
    </row>
    <row r="1009" spans="1:19" ht="42.75" customHeight="1">
      <c r="A1009" s="46" t="s">
        <v>173</v>
      </c>
      <c r="B1009" s="71" t="s">
        <v>299</v>
      </c>
      <c r="C1009" s="72" t="s">
        <v>255</v>
      </c>
      <c r="D1009" s="72" t="s">
        <v>454</v>
      </c>
      <c r="E1009" s="72" t="s">
        <v>468</v>
      </c>
      <c r="F1009" s="74"/>
      <c r="G1009" s="96">
        <f>G1011+G1015</f>
        <v>300</v>
      </c>
      <c r="H1009" s="75">
        <f>H1011+H1015</f>
        <v>600</v>
      </c>
      <c r="I1009" s="75">
        <f>I1011+I1015</f>
        <v>0</v>
      </c>
      <c r="J1009" s="96">
        <f>J1011+J1015</f>
        <v>0</v>
      </c>
      <c r="K1009" s="287">
        <f aca="true" t="shared" si="203" ref="K1009:Q1009">K1010+K1011</f>
        <v>300</v>
      </c>
      <c r="L1009" s="287">
        <f t="shared" si="203"/>
        <v>0</v>
      </c>
      <c r="M1009" s="287">
        <f t="shared" si="203"/>
        <v>0</v>
      </c>
      <c r="N1009" s="287">
        <f t="shared" si="203"/>
        <v>300</v>
      </c>
      <c r="O1009" s="287">
        <f t="shared" si="203"/>
        <v>0</v>
      </c>
      <c r="P1009" s="287">
        <f t="shared" si="203"/>
        <v>0</v>
      </c>
      <c r="Q1009" s="449">
        <f t="shared" si="203"/>
        <v>300</v>
      </c>
      <c r="R1009" s="449">
        <f>R1010+R1011</f>
        <v>299.984</v>
      </c>
      <c r="S1009" s="465">
        <f t="shared" si="195"/>
        <v>99.99466666666666</v>
      </c>
    </row>
    <row r="1010" spans="1:19" ht="15.75" customHeight="1">
      <c r="A1010" s="181" t="s">
        <v>109</v>
      </c>
      <c r="B1010" s="141" t="s">
        <v>299</v>
      </c>
      <c r="C1010" s="76" t="s">
        <v>255</v>
      </c>
      <c r="D1010" s="76" t="s">
        <v>454</v>
      </c>
      <c r="E1010" s="76" t="s">
        <v>468</v>
      </c>
      <c r="F1010" s="78" t="s">
        <v>106</v>
      </c>
      <c r="G1010" s="96"/>
      <c r="H1010" s="75"/>
      <c r="I1010" s="75"/>
      <c r="J1010" s="96"/>
      <c r="K1010" s="275">
        <v>5</v>
      </c>
      <c r="L1010" s="315"/>
      <c r="M1010" s="82"/>
      <c r="N1010" s="89">
        <f>K1010+L1010+M1010</f>
        <v>5</v>
      </c>
      <c r="O1010" s="89"/>
      <c r="P1010" s="275"/>
      <c r="Q1010" s="448">
        <f>N1010+O1010+P1010</f>
        <v>5</v>
      </c>
      <c r="R1010" s="448">
        <v>5</v>
      </c>
      <c r="S1010" s="444">
        <f t="shared" si="195"/>
        <v>100</v>
      </c>
    </row>
    <row r="1011" spans="1:19" ht="15.75" customHeight="1">
      <c r="A1011" s="213" t="s">
        <v>120</v>
      </c>
      <c r="B1011" s="141" t="s">
        <v>299</v>
      </c>
      <c r="C1011" s="76" t="s">
        <v>255</v>
      </c>
      <c r="D1011" s="76" t="s">
        <v>454</v>
      </c>
      <c r="E1011" s="76" t="s">
        <v>468</v>
      </c>
      <c r="F1011" s="78" t="s">
        <v>112</v>
      </c>
      <c r="G1011" s="89">
        <f>G1012+G1013+G1014</f>
        <v>300</v>
      </c>
      <c r="H1011" s="82">
        <f>H1012+H1013+H1014</f>
        <v>600</v>
      </c>
      <c r="I1011" s="82">
        <f>I1012+I1013+I1014</f>
        <v>0</v>
      </c>
      <c r="J1011" s="89"/>
      <c r="K1011" s="275">
        <v>295</v>
      </c>
      <c r="L1011" s="315"/>
      <c r="M1011" s="82"/>
      <c r="N1011" s="89">
        <f>K1011+L1011+M1011</f>
        <v>295</v>
      </c>
      <c r="O1011" s="89"/>
      <c r="P1011" s="275"/>
      <c r="Q1011" s="448">
        <f>N1011+O1011+P1011</f>
        <v>295</v>
      </c>
      <c r="R1011" s="448">
        <v>294.984</v>
      </c>
      <c r="S1011" s="444">
        <f t="shared" si="195"/>
        <v>99.99457627118643</v>
      </c>
    </row>
    <row r="1012" spans="1:19" ht="12.75" hidden="1">
      <c r="A1012" s="46"/>
      <c r="B1012" s="71"/>
      <c r="C1012" s="76"/>
      <c r="D1012" s="76"/>
      <c r="E1012" s="76"/>
      <c r="F1012" s="78" t="s">
        <v>235</v>
      </c>
      <c r="G1012" s="89"/>
      <c r="H1012" s="82"/>
      <c r="I1012" s="82"/>
      <c r="J1012" s="89"/>
      <c r="K1012" s="275"/>
      <c r="L1012" s="315"/>
      <c r="M1012" s="82"/>
      <c r="N1012" s="89"/>
      <c r="O1012" s="89"/>
      <c r="P1012" s="275"/>
      <c r="Q1012" s="448"/>
      <c r="R1012" s="448"/>
      <c r="S1012" s="465" t="e">
        <f t="shared" si="195"/>
        <v>#DIV/0!</v>
      </c>
    </row>
    <row r="1013" spans="1:19" ht="12.75" hidden="1">
      <c r="A1013" s="46"/>
      <c r="B1013" s="71"/>
      <c r="C1013" s="76"/>
      <c r="D1013" s="76"/>
      <c r="E1013" s="76"/>
      <c r="F1013" s="78" t="s">
        <v>236</v>
      </c>
      <c r="G1013" s="89">
        <v>300</v>
      </c>
      <c r="H1013" s="82">
        <v>600</v>
      </c>
      <c r="I1013" s="82"/>
      <c r="J1013" s="89">
        <v>300</v>
      </c>
      <c r="K1013" s="275">
        <v>300</v>
      </c>
      <c r="L1013" s="315"/>
      <c r="M1013" s="82"/>
      <c r="N1013" s="89"/>
      <c r="O1013" s="89"/>
      <c r="P1013" s="275"/>
      <c r="Q1013" s="448"/>
      <c r="R1013" s="448"/>
      <c r="S1013" s="465" t="e">
        <f t="shared" si="195"/>
        <v>#DIV/0!</v>
      </c>
    </row>
    <row r="1014" spans="1:19" ht="12.75" hidden="1">
      <c r="A1014" s="46"/>
      <c r="B1014" s="71"/>
      <c r="C1014" s="76"/>
      <c r="D1014" s="76"/>
      <c r="E1014" s="76"/>
      <c r="F1014" s="78" t="s">
        <v>239</v>
      </c>
      <c r="G1014" s="89"/>
      <c r="H1014" s="82"/>
      <c r="I1014" s="82"/>
      <c r="J1014" s="89"/>
      <c r="K1014" s="275"/>
      <c r="L1014" s="315"/>
      <c r="M1014" s="82"/>
      <c r="N1014" s="89"/>
      <c r="O1014" s="89"/>
      <c r="P1014" s="275"/>
      <c r="Q1014" s="448"/>
      <c r="R1014" s="448"/>
      <c r="S1014" s="465" t="e">
        <f t="shared" si="195"/>
        <v>#DIV/0!</v>
      </c>
    </row>
    <row r="1015" spans="1:19" ht="12.75" hidden="1">
      <c r="A1015" s="46" t="s">
        <v>402</v>
      </c>
      <c r="B1015" s="71" t="s">
        <v>299</v>
      </c>
      <c r="C1015" s="76" t="s">
        <v>255</v>
      </c>
      <c r="D1015" s="76" t="s">
        <v>454</v>
      </c>
      <c r="E1015" s="76" t="s">
        <v>468</v>
      </c>
      <c r="F1015" s="78" t="s">
        <v>403</v>
      </c>
      <c r="G1015" s="89">
        <f>G1016</f>
        <v>0</v>
      </c>
      <c r="H1015" s="82">
        <f>H1016</f>
        <v>0</v>
      </c>
      <c r="I1015" s="82">
        <f>I1016</f>
        <v>0</v>
      </c>
      <c r="J1015" s="89">
        <f>J1016</f>
        <v>0</v>
      </c>
      <c r="K1015" s="275">
        <f>K1016</f>
        <v>0</v>
      </c>
      <c r="L1015" s="315"/>
      <c r="M1015" s="82"/>
      <c r="N1015" s="89"/>
      <c r="O1015" s="89"/>
      <c r="P1015" s="275"/>
      <c r="Q1015" s="448"/>
      <c r="R1015" s="448"/>
      <c r="S1015" s="465" t="e">
        <f t="shared" si="195"/>
        <v>#DIV/0!</v>
      </c>
    </row>
    <row r="1016" spans="1:19" ht="12.75" hidden="1">
      <c r="A1016" s="46"/>
      <c r="B1016" s="71"/>
      <c r="C1016" s="76"/>
      <c r="D1016" s="76"/>
      <c r="E1016" s="76"/>
      <c r="F1016" s="78" t="s">
        <v>236</v>
      </c>
      <c r="G1016" s="89"/>
      <c r="H1016" s="82"/>
      <c r="I1016" s="82"/>
      <c r="J1016" s="89"/>
      <c r="K1016" s="275"/>
      <c r="L1016" s="315"/>
      <c r="M1016" s="82"/>
      <c r="N1016" s="89"/>
      <c r="O1016" s="89"/>
      <c r="P1016" s="275"/>
      <c r="Q1016" s="448"/>
      <c r="R1016" s="448"/>
      <c r="S1016" s="465" t="e">
        <f t="shared" si="195"/>
        <v>#DIV/0!</v>
      </c>
    </row>
    <row r="1017" spans="1:19" ht="31.5" customHeight="1" hidden="1">
      <c r="A1017" s="46" t="s">
        <v>174</v>
      </c>
      <c r="B1017" s="71" t="s">
        <v>299</v>
      </c>
      <c r="C1017" s="72" t="s">
        <v>255</v>
      </c>
      <c r="D1017" s="72" t="s">
        <v>454</v>
      </c>
      <c r="E1017" s="72" t="s">
        <v>469</v>
      </c>
      <c r="F1017" s="74"/>
      <c r="G1017" s="96">
        <f aca="true" t="shared" si="204" ref="G1017:R1017">G1018</f>
        <v>1000</v>
      </c>
      <c r="H1017" s="75">
        <f t="shared" si="204"/>
        <v>1000</v>
      </c>
      <c r="I1017" s="75">
        <f t="shared" si="204"/>
        <v>2050</v>
      </c>
      <c r="J1017" s="96">
        <f t="shared" si="204"/>
        <v>-1000</v>
      </c>
      <c r="K1017" s="287">
        <f t="shared" si="204"/>
        <v>0</v>
      </c>
      <c r="L1017" s="287">
        <f t="shared" si="204"/>
        <v>0</v>
      </c>
      <c r="M1017" s="287">
        <f t="shared" si="204"/>
        <v>0</v>
      </c>
      <c r="N1017" s="287">
        <f t="shared" si="204"/>
        <v>0</v>
      </c>
      <c r="O1017" s="287">
        <f t="shared" si="204"/>
        <v>0</v>
      </c>
      <c r="P1017" s="287">
        <f t="shared" si="204"/>
        <v>0</v>
      </c>
      <c r="Q1017" s="449">
        <f t="shared" si="204"/>
        <v>0</v>
      </c>
      <c r="R1017" s="449">
        <f t="shared" si="204"/>
        <v>0</v>
      </c>
      <c r="S1017" s="465" t="e">
        <f t="shared" si="195"/>
        <v>#DIV/0!</v>
      </c>
    </row>
    <row r="1018" spans="1:19" ht="15.75" customHeight="1" hidden="1">
      <c r="A1018" s="192" t="s">
        <v>109</v>
      </c>
      <c r="B1018" s="141" t="s">
        <v>299</v>
      </c>
      <c r="C1018" s="76" t="s">
        <v>255</v>
      </c>
      <c r="D1018" s="76" t="s">
        <v>454</v>
      </c>
      <c r="E1018" s="76" t="s">
        <v>469</v>
      </c>
      <c r="F1018" s="78" t="s">
        <v>106</v>
      </c>
      <c r="G1018" s="89">
        <v>1000</v>
      </c>
      <c r="H1018" s="82">
        <v>1000</v>
      </c>
      <c r="I1018" s="82">
        <v>2050</v>
      </c>
      <c r="J1018" s="89">
        <v>-1000</v>
      </c>
      <c r="K1018" s="275">
        <f>G1018+J1018</f>
        <v>0</v>
      </c>
      <c r="L1018" s="315"/>
      <c r="M1018" s="82"/>
      <c r="N1018" s="89">
        <f>K1018+L1018+M1018</f>
        <v>0</v>
      </c>
      <c r="O1018" s="89"/>
      <c r="P1018" s="275">
        <f>M1018+N1018+O1018</f>
        <v>0</v>
      </c>
      <c r="Q1018" s="448">
        <f>N1018+O1018+P1018</f>
        <v>0</v>
      </c>
      <c r="R1018" s="448">
        <f>O1018+P1018+Q1018</f>
        <v>0</v>
      </c>
      <c r="S1018" s="465" t="e">
        <f t="shared" si="195"/>
        <v>#DIV/0!</v>
      </c>
    </row>
    <row r="1019" spans="1:19" ht="30.75" customHeight="1">
      <c r="A1019" s="46" t="s">
        <v>516</v>
      </c>
      <c r="B1019" s="71" t="s">
        <v>299</v>
      </c>
      <c r="C1019" s="72" t="s">
        <v>255</v>
      </c>
      <c r="D1019" s="72" t="s">
        <v>454</v>
      </c>
      <c r="E1019" s="72" t="s">
        <v>470</v>
      </c>
      <c r="F1019" s="74"/>
      <c r="G1019" s="96">
        <f aca="true" t="shared" si="205" ref="G1019:R1019">G1020</f>
        <v>0</v>
      </c>
      <c r="H1019" s="96">
        <f t="shared" si="205"/>
        <v>0</v>
      </c>
      <c r="I1019" s="96">
        <f t="shared" si="205"/>
        <v>0</v>
      </c>
      <c r="J1019" s="96">
        <f t="shared" si="205"/>
        <v>1325</v>
      </c>
      <c r="K1019" s="287">
        <f t="shared" si="205"/>
        <v>1325</v>
      </c>
      <c r="L1019" s="287">
        <f t="shared" si="205"/>
        <v>0</v>
      </c>
      <c r="M1019" s="287">
        <f t="shared" si="205"/>
        <v>0</v>
      </c>
      <c r="N1019" s="287">
        <f t="shared" si="205"/>
        <v>1325</v>
      </c>
      <c r="O1019" s="287">
        <f t="shared" si="205"/>
        <v>0</v>
      </c>
      <c r="P1019" s="287">
        <f t="shared" si="205"/>
        <v>0</v>
      </c>
      <c r="Q1019" s="449">
        <f t="shared" si="205"/>
        <v>1325</v>
      </c>
      <c r="R1019" s="449">
        <f t="shared" si="205"/>
        <v>1311.33917</v>
      </c>
      <c r="S1019" s="465">
        <f t="shared" si="195"/>
        <v>98.96899396226415</v>
      </c>
    </row>
    <row r="1020" spans="1:19" ht="15.75" customHeight="1">
      <c r="A1020" s="213" t="s">
        <v>120</v>
      </c>
      <c r="B1020" s="141" t="s">
        <v>299</v>
      </c>
      <c r="C1020" s="76" t="s">
        <v>255</v>
      </c>
      <c r="D1020" s="76" t="s">
        <v>454</v>
      </c>
      <c r="E1020" s="76" t="s">
        <v>470</v>
      </c>
      <c r="F1020" s="78" t="s">
        <v>112</v>
      </c>
      <c r="G1020" s="205"/>
      <c r="H1020" s="134"/>
      <c r="I1020" s="134"/>
      <c r="J1020" s="205">
        <v>1325</v>
      </c>
      <c r="K1020" s="174">
        <f>G1020+J1020</f>
        <v>1325</v>
      </c>
      <c r="L1020" s="315"/>
      <c r="M1020" s="82"/>
      <c r="N1020" s="89">
        <f>K1020+L1020+M1020</f>
        <v>1325</v>
      </c>
      <c r="O1020" s="89"/>
      <c r="P1020" s="275"/>
      <c r="Q1020" s="448">
        <f>N1020+O1020+P1020</f>
        <v>1325</v>
      </c>
      <c r="R1020" s="448">
        <v>1311.33917</v>
      </c>
      <c r="S1020" s="444">
        <f t="shared" si="195"/>
        <v>98.96899396226415</v>
      </c>
    </row>
    <row r="1021" spans="1:19" ht="16.5" customHeight="1" hidden="1" thickBot="1">
      <c r="A1021" s="48" t="s">
        <v>291</v>
      </c>
      <c r="B1021" s="33" t="s">
        <v>299</v>
      </c>
      <c r="C1021" s="34" t="s">
        <v>255</v>
      </c>
      <c r="D1021" s="34" t="s">
        <v>454</v>
      </c>
      <c r="E1021" s="35" t="s">
        <v>292</v>
      </c>
      <c r="F1021" s="81"/>
      <c r="G1021" s="205"/>
      <c r="H1021" s="134"/>
      <c r="I1021" s="134"/>
      <c r="J1021" s="205"/>
      <c r="K1021" s="174"/>
      <c r="L1021" s="174"/>
      <c r="M1021" s="174"/>
      <c r="N1021" s="281">
        <f aca="true" t="shared" si="206" ref="N1021:R1022">N1022</f>
        <v>0</v>
      </c>
      <c r="O1021" s="281">
        <f t="shared" si="206"/>
        <v>200</v>
      </c>
      <c r="P1021" s="281">
        <f t="shared" si="206"/>
        <v>0</v>
      </c>
      <c r="Q1021" s="449">
        <f t="shared" si="206"/>
        <v>200</v>
      </c>
      <c r="R1021" s="449">
        <f t="shared" si="206"/>
        <v>200</v>
      </c>
      <c r="S1021" s="465">
        <f t="shared" si="195"/>
        <v>100</v>
      </c>
    </row>
    <row r="1022" spans="1:19" ht="30" customHeight="1">
      <c r="A1022" s="105" t="s">
        <v>153</v>
      </c>
      <c r="B1022" s="71" t="s">
        <v>299</v>
      </c>
      <c r="C1022" s="72" t="s">
        <v>255</v>
      </c>
      <c r="D1022" s="72" t="s">
        <v>454</v>
      </c>
      <c r="E1022" s="73" t="s">
        <v>294</v>
      </c>
      <c r="F1022" s="78"/>
      <c r="G1022" s="89"/>
      <c r="H1022" s="82"/>
      <c r="I1022" s="82"/>
      <c r="J1022" s="89"/>
      <c r="K1022" s="275"/>
      <c r="L1022" s="275"/>
      <c r="M1022" s="275"/>
      <c r="N1022" s="287">
        <f t="shared" si="206"/>
        <v>0</v>
      </c>
      <c r="O1022" s="287">
        <f t="shared" si="206"/>
        <v>200</v>
      </c>
      <c r="P1022" s="287">
        <f t="shared" si="206"/>
        <v>0</v>
      </c>
      <c r="Q1022" s="449">
        <f t="shared" si="206"/>
        <v>200</v>
      </c>
      <c r="R1022" s="449">
        <f t="shared" si="206"/>
        <v>200</v>
      </c>
      <c r="S1022" s="465">
        <f t="shared" si="195"/>
        <v>100</v>
      </c>
    </row>
    <row r="1023" spans="1:19" ht="15.75" customHeight="1" thickBot="1">
      <c r="A1023" s="146" t="s">
        <v>120</v>
      </c>
      <c r="B1023" s="220" t="s">
        <v>299</v>
      </c>
      <c r="C1023" s="79" t="s">
        <v>255</v>
      </c>
      <c r="D1023" s="79" t="s">
        <v>454</v>
      </c>
      <c r="E1023" s="79" t="s">
        <v>294</v>
      </c>
      <c r="F1023" s="81" t="s">
        <v>112</v>
      </c>
      <c r="G1023" s="205"/>
      <c r="H1023" s="134"/>
      <c r="I1023" s="134"/>
      <c r="J1023" s="205"/>
      <c r="K1023" s="174"/>
      <c r="L1023" s="174"/>
      <c r="M1023" s="174"/>
      <c r="N1023" s="174"/>
      <c r="O1023" s="174">
        <v>200</v>
      </c>
      <c r="P1023" s="174"/>
      <c r="Q1023" s="460">
        <f>N1023+O1023+P1023</f>
        <v>200</v>
      </c>
      <c r="R1023" s="460">
        <v>200</v>
      </c>
      <c r="S1023" s="491">
        <f t="shared" si="195"/>
        <v>100</v>
      </c>
    </row>
    <row r="1024" spans="1:19" s="1" customFormat="1" ht="16.5" customHeight="1" thickBot="1">
      <c r="A1024" s="182" t="s">
        <v>147</v>
      </c>
      <c r="B1024" s="183" t="s">
        <v>340</v>
      </c>
      <c r="C1024" s="184" t="s">
        <v>472</v>
      </c>
      <c r="D1024" s="184" t="s">
        <v>199</v>
      </c>
      <c r="E1024" s="184"/>
      <c r="F1024" s="186"/>
      <c r="G1024" s="198" t="e">
        <f>G1025+G1181</f>
        <v>#REF!</v>
      </c>
      <c r="H1024" s="187" t="e">
        <f>H1025+H1181</f>
        <v>#REF!</v>
      </c>
      <c r="I1024" s="187" t="e">
        <f>I1025+I1181</f>
        <v>#REF!</v>
      </c>
      <c r="J1024" s="198" t="e">
        <f>J1025+J1181</f>
        <v>#REF!</v>
      </c>
      <c r="K1024" s="284" t="e">
        <f aca="true" t="shared" si="207" ref="K1024:R1024">K1025+K1229</f>
        <v>#REF!</v>
      </c>
      <c r="L1024" s="284" t="e">
        <f t="shared" si="207"/>
        <v>#REF!</v>
      </c>
      <c r="M1024" s="284" t="e">
        <f t="shared" si="207"/>
        <v>#REF!</v>
      </c>
      <c r="N1024" s="284" t="e">
        <f t="shared" si="207"/>
        <v>#REF!</v>
      </c>
      <c r="O1024" s="284" t="e">
        <f t="shared" si="207"/>
        <v>#REF!</v>
      </c>
      <c r="P1024" s="284" t="e">
        <f t="shared" si="207"/>
        <v>#REF!</v>
      </c>
      <c r="Q1024" s="462">
        <f t="shared" si="207"/>
        <v>43856.469979999994</v>
      </c>
      <c r="R1024" s="463">
        <f t="shared" si="207"/>
        <v>43235.48365</v>
      </c>
      <c r="S1024" s="484">
        <f t="shared" si="195"/>
        <v>98.58404853312823</v>
      </c>
    </row>
    <row r="1025" spans="1:19" s="1" customFormat="1" ht="16.5" customHeight="1" thickBot="1">
      <c r="A1025" s="17" t="s">
        <v>473</v>
      </c>
      <c r="B1025" s="18" t="s">
        <v>340</v>
      </c>
      <c r="C1025" s="19" t="s">
        <v>472</v>
      </c>
      <c r="D1025" s="19" t="s">
        <v>198</v>
      </c>
      <c r="E1025" s="19"/>
      <c r="F1025" s="21"/>
      <c r="G1025" s="199" t="e">
        <f aca="true" t="shared" si="208" ref="G1025:P1025">G1026+G1043+G1046+G1048+G1062+G1064+G1151+G1173+G1177+G1148</f>
        <v>#REF!</v>
      </c>
      <c r="H1025" s="199" t="e">
        <f t="shared" si="208"/>
        <v>#REF!</v>
      </c>
      <c r="I1025" s="199" t="e">
        <f t="shared" si="208"/>
        <v>#REF!</v>
      </c>
      <c r="J1025" s="199" t="e">
        <f t="shared" si="208"/>
        <v>#REF!</v>
      </c>
      <c r="K1025" s="285" t="e">
        <f t="shared" si="208"/>
        <v>#REF!</v>
      </c>
      <c r="L1025" s="285" t="e">
        <f t="shared" si="208"/>
        <v>#REF!</v>
      </c>
      <c r="M1025" s="285" t="e">
        <f t="shared" si="208"/>
        <v>#REF!</v>
      </c>
      <c r="N1025" s="285" t="e">
        <f t="shared" si="208"/>
        <v>#REF!</v>
      </c>
      <c r="O1025" s="285" t="e">
        <f t="shared" si="208"/>
        <v>#REF!</v>
      </c>
      <c r="P1025" s="285" t="e">
        <f t="shared" si="208"/>
        <v>#REF!</v>
      </c>
      <c r="Q1025" s="492">
        <f>Q1026+Q1043+Q1046+Q1048+Q1062+Q1064+Q1147+Q1150</f>
        <v>36207.10122</v>
      </c>
      <c r="R1025" s="493">
        <f>R1026+R1043+R1046+R1048+R1062+R1064+R1147+R1150</f>
        <v>35646.57721</v>
      </c>
      <c r="S1025" s="484">
        <f t="shared" si="195"/>
        <v>98.45189481865957</v>
      </c>
    </row>
    <row r="1026" spans="1:19" s="1" customFormat="1" ht="26.25" customHeight="1">
      <c r="A1026" s="48" t="s">
        <v>183</v>
      </c>
      <c r="B1026" s="33" t="s">
        <v>340</v>
      </c>
      <c r="C1026" s="34" t="s">
        <v>472</v>
      </c>
      <c r="D1026" s="34" t="s">
        <v>198</v>
      </c>
      <c r="E1026" s="34" t="s">
        <v>474</v>
      </c>
      <c r="F1026" s="36"/>
      <c r="G1026" s="207" t="e">
        <f aca="true" t="shared" si="209" ref="G1026:R1026">G1027</f>
        <v>#REF!</v>
      </c>
      <c r="H1026" s="207" t="e">
        <f t="shared" si="209"/>
        <v>#REF!</v>
      </c>
      <c r="I1026" s="207" t="e">
        <f t="shared" si="209"/>
        <v>#REF!</v>
      </c>
      <c r="J1026" s="207" t="e">
        <f t="shared" si="209"/>
        <v>#REF!</v>
      </c>
      <c r="K1026" s="302" t="e">
        <f t="shared" si="209"/>
        <v>#REF!</v>
      </c>
      <c r="L1026" s="302" t="e">
        <f t="shared" si="209"/>
        <v>#REF!</v>
      </c>
      <c r="M1026" s="302" t="e">
        <f t="shared" si="209"/>
        <v>#REF!</v>
      </c>
      <c r="N1026" s="302" t="e">
        <f t="shared" si="209"/>
        <v>#REF!</v>
      </c>
      <c r="O1026" s="302" t="e">
        <f t="shared" si="209"/>
        <v>#REF!</v>
      </c>
      <c r="P1026" s="302" t="e">
        <f t="shared" si="209"/>
        <v>#REF!</v>
      </c>
      <c r="Q1026" s="480">
        <f t="shared" si="209"/>
        <v>24741.14022</v>
      </c>
      <c r="R1026" s="480">
        <f t="shared" si="209"/>
        <v>24364.39349</v>
      </c>
      <c r="S1026" s="481">
        <f t="shared" si="195"/>
        <v>98.47724588822527</v>
      </c>
    </row>
    <row r="1027" spans="1:19" ht="25.5" customHeight="1">
      <c r="A1027" s="46" t="s">
        <v>184</v>
      </c>
      <c r="B1027" s="71" t="s">
        <v>340</v>
      </c>
      <c r="C1027" s="72" t="s">
        <v>472</v>
      </c>
      <c r="D1027" s="72" t="s">
        <v>198</v>
      </c>
      <c r="E1027" s="72" t="s">
        <v>475</v>
      </c>
      <c r="F1027" s="74"/>
      <c r="G1027" s="96" t="e">
        <f>G1030+#REF!</f>
        <v>#REF!</v>
      </c>
      <c r="H1027" s="96" t="e">
        <f>H1030+#REF!</f>
        <v>#REF!</v>
      </c>
      <c r="I1027" s="96" t="e">
        <f>I1030+#REF!</f>
        <v>#REF!</v>
      </c>
      <c r="J1027" s="96" t="e">
        <f>J1030+#REF!</f>
        <v>#REF!</v>
      </c>
      <c r="K1027" s="287" t="e">
        <f>K1030+#REF!</f>
        <v>#REF!</v>
      </c>
      <c r="L1027" s="287" t="e">
        <f>L1030+#REF!</f>
        <v>#REF!</v>
      </c>
      <c r="M1027" s="287" t="e">
        <f>M1030+#REF!</f>
        <v>#REF!</v>
      </c>
      <c r="N1027" s="287" t="e">
        <f>N1030+#REF!</f>
        <v>#REF!</v>
      </c>
      <c r="O1027" s="287" t="e">
        <f>O1030+#REF!</f>
        <v>#REF!</v>
      </c>
      <c r="P1027" s="287" t="e">
        <f>P1030+#REF!</f>
        <v>#REF!</v>
      </c>
      <c r="Q1027" s="449">
        <f>Q1030</f>
        <v>24741.14022</v>
      </c>
      <c r="R1027" s="449">
        <f>R1030</f>
        <v>24364.39349</v>
      </c>
      <c r="S1027" s="449">
        <f>S1030</f>
        <v>98.47724588822527</v>
      </c>
    </row>
    <row r="1028" spans="1:19" ht="12.75" hidden="1">
      <c r="A1028" s="103" t="s">
        <v>402</v>
      </c>
      <c r="B1028" s="99" t="s">
        <v>340</v>
      </c>
      <c r="C1028" s="100" t="s">
        <v>472</v>
      </c>
      <c r="D1028" s="100" t="s">
        <v>198</v>
      </c>
      <c r="E1028" s="100" t="s">
        <v>475</v>
      </c>
      <c r="F1028" s="101" t="s">
        <v>399</v>
      </c>
      <c r="G1028" s="102">
        <f>G1029</f>
        <v>0</v>
      </c>
      <c r="H1028" s="137">
        <f>H1029</f>
        <v>0</v>
      </c>
      <c r="I1028" s="137">
        <f>I1029</f>
        <v>0</v>
      </c>
      <c r="J1028" s="102">
        <f>J1029</f>
        <v>0</v>
      </c>
      <c r="K1028" s="280">
        <f>K1029</f>
        <v>0</v>
      </c>
      <c r="L1028" s="315"/>
      <c r="M1028" s="82"/>
      <c r="N1028" s="89"/>
      <c r="O1028" s="89"/>
      <c r="P1028" s="275"/>
      <c r="Q1028" s="448"/>
      <c r="R1028" s="448"/>
      <c r="S1028" s="465" t="e">
        <f t="shared" si="195"/>
        <v>#DIV/0!</v>
      </c>
    </row>
    <row r="1029" spans="1:19" ht="12.75" hidden="1">
      <c r="A1029" s="29"/>
      <c r="B1029" s="30"/>
      <c r="C1029" s="79"/>
      <c r="D1029" s="79"/>
      <c r="E1029" s="79"/>
      <c r="F1029" s="81" t="s">
        <v>237</v>
      </c>
      <c r="G1029" s="89"/>
      <c r="H1029" s="82"/>
      <c r="I1029" s="82"/>
      <c r="J1029" s="89"/>
      <c r="K1029" s="275"/>
      <c r="L1029" s="315"/>
      <c r="M1029" s="82"/>
      <c r="N1029" s="89"/>
      <c r="O1029" s="89"/>
      <c r="P1029" s="275"/>
      <c r="Q1029" s="448"/>
      <c r="R1029" s="448"/>
      <c r="S1029" s="465" t="e">
        <f t="shared" si="195"/>
        <v>#DIV/0!</v>
      </c>
    </row>
    <row r="1030" spans="1:19" ht="19.5" customHeight="1" thickBot="1">
      <c r="A1030" s="213" t="s">
        <v>120</v>
      </c>
      <c r="B1030" s="141" t="s">
        <v>340</v>
      </c>
      <c r="C1030" s="76" t="s">
        <v>472</v>
      </c>
      <c r="D1030" s="76" t="s">
        <v>198</v>
      </c>
      <c r="E1030" s="76" t="s">
        <v>475</v>
      </c>
      <c r="F1030" s="78" t="s">
        <v>112</v>
      </c>
      <c r="G1030" s="89">
        <f>G1031+G1032+G1033+G1034+G1035+G1036+G1037+G1039+G1040+G1041+G1042</f>
        <v>17205.40576</v>
      </c>
      <c r="H1030" s="89">
        <f>H1031+H1032+H1033+H1034+H1035+H1036+H1037+H1039+H1040+H1041+H1042</f>
        <v>16077.95644</v>
      </c>
      <c r="I1030" s="89">
        <f>I1031+I1032+I1033+I1034+I1035+I1036+I1037+I1039+I1040+I1041+I1042</f>
        <v>16767.960920867</v>
      </c>
      <c r="J1030" s="89">
        <f>J1031+J1032+J1033+J1034+J1035+J1036+J1037+J1039+J1040+J1041+J1042</f>
        <v>994.4000000000001</v>
      </c>
      <c r="K1030" s="275">
        <f aca="true" t="shared" si="210" ref="K1030:P1030">K1031+K1032+K1033+K1034+K1035+K1036+K1037+K1039+K1040+K1041+K1042+K1038</f>
        <v>18199.80576</v>
      </c>
      <c r="L1030" s="275">
        <f t="shared" si="210"/>
        <v>95</v>
      </c>
      <c r="M1030" s="275">
        <f t="shared" si="210"/>
        <v>3169.96546</v>
      </c>
      <c r="N1030" s="275">
        <f t="shared" si="210"/>
        <v>21597.841220000002</v>
      </c>
      <c r="O1030" s="275">
        <f t="shared" si="210"/>
        <v>-20.031000000000006</v>
      </c>
      <c r="P1030" s="275">
        <f t="shared" si="210"/>
        <v>3527.2000000000003</v>
      </c>
      <c r="Q1030" s="448">
        <f>24374.21022-133.07+500</f>
        <v>24741.14022</v>
      </c>
      <c r="R1030" s="448">
        <f>23864.39349+500</f>
        <v>24364.39349</v>
      </c>
      <c r="S1030" s="444">
        <f t="shared" si="195"/>
        <v>98.47724588822527</v>
      </c>
    </row>
    <row r="1031" spans="1:19" ht="12.75" customHeight="1" hidden="1">
      <c r="A1031" s="29"/>
      <c r="B1031" s="30"/>
      <c r="C1031" s="79"/>
      <c r="D1031" s="79"/>
      <c r="E1031" s="79"/>
      <c r="F1031" s="81" t="s">
        <v>215</v>
      </c>
      <c r="G1031" s="97">
        <v>11216</v>
      </c>
      <c r="H1031" s="111">
        <f>11378*0.91</f>
        <v>10353.98</v>
      </c>
      <c r="I1031" s="111">
        <f>11378*0.95</f>
        <v>10809.1</v>
      </c>
      <c r="J1031" s="97">
        <v>349.6</v>
      </c>
      <c r="K1031" s="269">
        <v>11565.6</v>
      </c>
      <c r="L1031" s="315"/>
      <c r="M1031" s="82">
        <v>1466.2</v>
      </c>
      <c r="N1031" s="89">
        <f aca="true" t="shared" si="211" ref="N1031:N1037">K1031+L1031+M1031</f>
        <v>13031.800000000001</v>
      </c>
      <c r="O1031" s="89">
        <v>-185</v>
      </c>
      <c r="P1031" s="451">
        <f>915.51+1780</f>
        <v>2695.51</v>
      </c>
      <c r="Q1031" s="448">
        <f aca="true" t="shared" si="212" ref="Q1031:R1042">N1031+O1031+P1031</f>
        <v>15542.310000000001</v>
      </c>
      <c r="R1031" s="448">
        <f t="shared" si="212"/>
        <v>18052.82</v>
      </c>
      <c r="S1031" s="465">
        <f t="shared" si="195"/>
        <v>116.15274692114622</v>
      </c>
    </row>
    <row r="1032" spans="1:19" ht="12.75" customHeight="1" hidden="1">
      <c r="A1032" s="46"/>
      <c r="B1032" s="71"/>
      <c r="C1032" s="76"/>
      <c r="D1032" s="76"/>
      <c r="E1032" s="76"/>
      <c r="F1032" s="78" t="s">
        <v>216</v>
      </c>
      <c r="G1032" s="89">
        <v>5</v>
      </c>
      <c r="H1032" s="82">
        <f>3*0.91</f>
        <v>2.73</v>
      </c>
      <c r="I1032" s="82">
        <f>4*0.95</f>
        <v>3.8</v>
      </c>
      <c r="J1032" s="89"/>
      <c r="K1032" s="269">
        <v>5</v>
      </c>
      <c r="L1032" s="315"/>
      <c r="M1032" s="82"/>
      <c r="N1032" s="89">
        <f t="shared" si="211"/>
        <v>5</v>
      </c>
      <c r="O1032" s="89"/>
      <c r="P1032" s="275"/>
      <c r="Q1032" s="448">
        <f t="shared" si="212"/>
        <v>5</v>
      </c>
      <c r="R1032" s="448">
        <f t="shared" si="212"/>
        <v>5</v>
      </c>
      <c r="S1032" s="465">
        <f t="shared" si="195"/>
        <v>100</v>
      </c>
    </row>
    <row r="1033" spans="1:19" ht="12.75" customHeight="1" hidden="1">
      <c r="A1033" s="29"/>
      <c r="B1033" s="30"/>
      <c r="C1033" s="79"/>
      <c r="D1033" s="79"/>
      <c r="E1033" s="79"/>
      <c r="F1033" s="81" t="s">
        <v>217</v>
      </c>
      <c r="G1033" s="205">
        <v>3387.20576</v>
      </c>
      <c r="H1033" s="134">
        <f>3437.9*0.91</f>
        <v>3128.489</v>
      </c>
      <c r="I1033" s="134">
        <f>3437.9*0.95</f>
        <v>3266.005</v>
      </c>
      <c r="J1033" s="205">
        <v>105.5</v>
      </c>
      <c r="K1033" s="269">
        <v>3492.70576</v>
      </c>
      <c r="L1033" s="315"/>
      <c r="M1033" s="82">
        <v>430.3</v>
      </c>
      <c r="N1033" s="89">
        <f t="shared" si="211"/>
        <v>3923.00576</v>
      </c>
      <c r="O1033" s="378">
        <f>185+32</f>
        <v>217</v>
      </c>
      <c r="P1033" s="451">
        <f>281.69+550</f>
        <v>831.69</v>
      </c>
      <c r="Q1033" s="448">
        <f t="shared" si="212"/>
        <v>4971.6957600000005</v>
      </c>
      <c r="R1033" s="448">
        <f t="shared" si="212"/>
        <v>6020.385760000001</v>
      </c>
      <c r="S1033" s="465">
        <f t="shared" si="195"/>
        <v>121.0932054297707</v>
      </c>
    </row>
    <row r="1034" spans="1:19" ht="12.75" customHeight="1" hidden="1">
      <c r="A1034" s="46"/>
      <c r="B1034" s="71"/>
      <c r="C1034" s="76"/>
      <c r="D1034" s="76"/>
      <c r="E1034" s="76"/>
      <c r="F1034" s="78" t="s">
        <v>233</v>
      </c>
      <c r="G1034" s="89">
        <v>69</v>
      </c>
      <c r="H1034" s="82">
        <f>104.7*0.91</f>
        <v>95.277</v>
      </c>
      <c r="I1034" s="82">
        <f>110.2*0.95</f>
        <v>104.69</v>
      </c>
      <c r="J1034" s="89"/>
      <c r="K1034" s="269">
        <v>69</v>
      </c>
      <c r="L1034" s="315"/>
      <c r="M1034" s="82"/>
      <c r="N1034" s="89">
        <f t="shared" si="211"/>
        <v>69</v>
      </c>
      <c r="O1034" s="89">
        <v>30</v>
      </c>
      <c r="P1034" s="275"/>
      <c r="Q1034" s="448">
        <f t="shared" si="212"/>
        <v>99</v>
      </c>
      <c r="R1034" s="448">
        <f t="shared" si="212"/>
        <v>129</v>
      </c>
      <c r="S1034" s="465">
        <f t="shared" si="195"/>
        <v>130.3030303030303</v>
      </c>
    </row>
    <row r="1035" spans="1:19" ht="12.75" customHeight="1" hidden="1">
      <c r="A1035" s="29"/>
      <c r="B1035" s="30"/>
      <c r="C1035" s="79"/>
      <c r="D1035" s="79"/>
      <c r="E1035" s="79"/>
      <c r="F1035" s="81" t="s">
        <v>234</v>
      </c>
      <c r="G1035" s="205">
        <v>10</v>
      </c>
      <c r="H1035" s="134">
        <f>15*0.91</f>
        <v>13.65</v>
      </c>
      <c r="I1035" s="134">
        <f>16*0.95</f>
        <v>15.2</v>
      </c>
      <c r="J1035" s="205"/>
      <c r="K1035" s="269">
        <v>10</v>
      </c>
      <c r="L1035" s="315"/>
      <c r="M1035" s="82"/>
      <c r="N1035" s="89">
        <f t="shared" si="211"/>
        <v>10</v>
      </c>
      <c r="O1035" s="378">
        <v>-6</v>
      </c>
      <c r="P1035" s="275"/>
      <c r="Q1035" s="448">
        <f t="shared" si="212"/>
        <v>4</v>
      </c>
      <c r="R1035" s="448">
        <f t="shared" si="212"/>
        <v>-2</v>
      </c>
      <c r="S1035" s="465">
        <f t="shared" si="195"/>
        <v>-50</v>
      </c>
    </row>
    <row r="1036" spans="1:19" ht="12.75" customHeight="1" hidden="1">
      <c r="A1036" s="46"/>
      <c r="B1036" s="71"/>
      <c r="C1036" s="76"/>
      <c r="D1036" s="76"/>
      <c r="E1036" s="76"/>
      <c r="F1036" s="78" t="s">
        <v>244</v>
      </c>
      <c r="G1036" s="89">
        <v>1673.7</v>
      </c>
      <c r="H1036" s="82">
        <f>G1036*1.1*0.91</f>
        <v>1675.3737</v>
      </c>
      <c r="I1036" s="82">
        <f>H1036*1.108*0.95</f>
        <v>1763.49835662</v>
      </c>
      <c r="J1036" s="89">
        <v>21.3</v>
      </c>
      <c r="K1036" s="269">
        <v>1695</v>
      </c>
      <c r="L1036" s="315">
        <f>-70+20</f>
        <v>-50</v>
      </c>
      <c r="M1036" s="82"/>
      <c r="N1036" s="89">
        <f t="shared" si="211"/>
        <v>1645</v>
      </c>
      <c r="O1036" s="378">
        <v>-157</v>
      </c>
      <c r="P1036" s="275"/>
      <c r="Q1036" s="448">
        <f t="shared" si="212"/>
        <v>1488</v>
      </c>
      <c r="R1036" s="448">
        <f t="shared" si="212"/>
        <v>1331</v>
      </c>
      <c r="S1036" s="465">
        <f t="shared" si="195"/>
        <v>89.4489247311828</v>
      </c>
    </row>
    <row r="1037" spans="1:19" ht="12.75" customHeight="1" hidden="1">
      <c r="A1037" s="29"/>
      <c r="B1037" s="30"/>
      <c r="C1037" s="79"/>
      <c r="D1037" s="79"/>
      <c r="E1037" s="79"/>
      <c r="F1037" s="81" t="s">
        <v>235</v>
      </c>
      <c r="G1037" s="205">
        <v>101.5</v>
      </c>
      <c r="H1037" s="134">
        <f>G1037*1.052*0.91</f>
        <v>97.16798000000001</v>
      </c>
      <c r="I1037" s="134">
        <f>H1037*1.049*0.95</f>
        <v>96.832750469</v>
      </c>
      <c r="J1037" s="205">
        <f>18+500</f>
        <v>518</v>
      </c>
      <c r="K1037" s="269">
        <v>619.5</v>
      </c>
      <c r="L1037" s="315">
        <v>-100.46157</v>
      </c>
      <c r="M1037" s="82"/>
      <c r="N1037" s="89">
        <f t="shared" si="211"/>
        <v>519.0384300000001</v>
      </c>
      <c r="O1037" s="89">
        <v>22</v>
      </c>
      <c r="P1037" s="275"/>
      <c r="Q1037" s="448">
        <f t="shared" si="212"/>
        <v>541.0384300000001</v>
      </c>
      <c r="R1037" s="448">
        <f t="shared" si="212"/>
        <v>563.0384300000001</v>
      </c>
      <c r="S1037" s="465">
        <f t="shared" si="195"/>
        <v>104.06625459119421</v>
      </c>
    </row>
    <row r="1038" spans="1:19" ht="12.75" customHeight="1" hidden="1">
      <c r="A1038" s="29"/>
      <c r="B1038" s="30"/>
      <c r="C1038" s="79"/>
      <c r="D1038" s="79"/>
      <c r="E1038" s="79"/>
      <c r="F1038" s="81" t="s">
        <v>235</v>
      </c>
      <c r="G1038" s="205"/>
      <c r="H1038" s="134"/>
      <c r="I1038" s="134"/>
      <c r="J1038" s="205"/>
      <c r="K1038" s="269"/>
      <c r="L1038" s="315"/>
      <c r="M1038" s="82">
        <f>128+96.5+39.5+655.80446</f>
        <v>919.80446</v>
      </c>
      <c r="N1038" s="89">
        <v>884.67746</v>
      </c>
      <c r="O1038" s="89">
        <f>-39.5-122.0086</f>
        <v>-161.5086</v>
      </c>
      <c r="P1038" s="275"/>
      <c r="Q1038" s="448">
        <f t="shared" si="212"/>
        <v>723.16886</v>
      </c>
      <c r="R1038" s="448">
        <f t="shared" si="212"/>
        <v>561.66026</v>
      </c>
      <c r="S1038" s="465">
        <f aca="true" t="shared" si="213" ref="S1038:S1100">R1038/Q1038*100</f>
        <v>77.66654388298744</v>
      </c>
    </row>
    <row r="1039" spans="1:19" ht="12.75" customHeight="1" hidden="1">
      <c r="A1039" s="46"/>
      <c r="B1039" s="71"/>
      <c r="C1039" s="76"/>
      <c r="D1039" s="76"/>
      <c r="E1039" s="76"/>
      <c r="F1039" s="78" t="s">
        <v>236</v>
      </c>
      <c r="G1039" s="89">
        <v>162</v>
      </c>
      <c r="H1039" s="82">
        <f>G1039*1.052*0.91</f>
        <v>155.08584000000002</v>
      </c>
      <c r="I1039" s="82">
        <f>H1039*1.049*0.95</f>
        <v>154.550793852</v>
      </c>
      <c r="J1039" s="89"/>
      <c r="K1039" s="269">
        <v>162</v>
      </c>
      <c r="L1039" s="315">
        <f>95+96.46157</f>
        <v>191.46157</v>
      </c>
      <c r="M1039" s="82">
        <v>163.13</v>
      </c>
      <c r="N1039" s="89">
        <f>516.59157+133.07</f>
        <v>649.66157</v>
      </c>
      <c r="O1039" s="378">
        <f>23+122.0086</f>
        <v>145.0086</v>
      </c>
      <c r="P1039" s="275"/>
      <c r="Q1039" s="448">
        <f t="shared" si="212"/>
        <v>794.67017</v>
      </c>
      <c r="R1039" s="448">
        <f t="shared" si="212"/>
        <v>939.67877</v>
      </c>
      <c r="S1039" s="465">
        <f t="shared" si="213"/>
        <v>118.24764606427847</v>
      </c>
    </row>
    <row r="1040" spans="1:19" ht="14.25" customHeight="1" hidden="1">
      <c r="A1040" s="29"/>
      <c r="B1040" s="30"/>
      <c r="C1040" s="79"/>
      <c r="D1040" s="79"/>
      <c r="E1040" s="79"/>
      <c r="F1040" s="81" t="s">
        <v>237</v>
      </c>
      <c r="G1040" s="205">
        <v>64</v>
      </c>
      <c r="H1040" s="134">
        <f>G1040*1.052*0.91</f>
        <v>61.268480000000004</v>
      </c>
      <c r="I1040" s="134">
        <f>H1040*1.049*0.95</f>
        <v>61.057103743999996</v>
      </c>
      <c r="J1040" s="205">
        <v>40</v>
      </c>
      <c r="K1040" s="269">
        <v>104</v>
      </c>
      <c r="L1040" s="315">
        <v>4</v>
      </c>
      <c r="M1040" s="82">
        <v>40</v>
      </c>
      <c r="N1040" s="89">
        <f>K1040+L1040+M1040</f>
        <v>148</v>
      </c>
      <c r="O1040" s="378">
        <v>-20</v>
      </c>
      <c r="P1040" s="275"/>
      <c r="Q1040" s="448">
        <f t="shared" si="212"/>
        <v>128</v>
      </c>
      <c r="R1040" s="448">
        <f t="shared" si="212"/>
        <v>108</v>
      </c>
      <c r="S1040" s="465">
        <f t="shared" si="213"/>
        <v>84.375</v>
      </c>
    </row>
    <row r="1041" spans="1:19" ht="14.25" customHeight="1" hidden="1">
      <c r="A1041" s="46"/>
      <c r="B1041" s="71"/>
      <c r="C1041" s="76"/>
      <c r="D1041" s="76"/>
      <c r="E1041" s="76"/>
      <c r="F1041" s="78" t="s">
        <v>238</v>
      </c>
      <c r="G1041" s="89">
        <v>50</v>
      </c>
      <c r="H1041" s="82">
        <f>G1041*1.052*0.91</f>
        <v>47.866</v>
      </c>
      <c r="I1041" s="82">
        <f>H1041*1.049*0.95</f>
        <v>47.7008623</v>
      </c>
      <c r="J1041" s="89"/>
      <c r="K1041" s="269">
        <v>50</v>
      </c>
      <c r="L1041" s="315">
        <v>-25</v>
      </c>
      <c r="M1041" s="82">
        <v>13.531</v>
      </c>
      <c r="N1041" s="89">
        <v>84.531</v>
      </c>
      <c r="O1041" s="89">
        <v>-13.531</v>
      </c>
      <c r="P1041" s="275"/>
      <c r="Q1041" s="448">
        <f t="shared" si="212"/>
        <v>71</v>
      </c>
      <c r="R1041" s="448">
        <f t="shared" si="212"/>
        <v>57.469</v>
      </c>
      <c r="S1041" s="465">
        <f t="shared" si="213"/>
        <v>80.94225352112676</v>
      </c>
    </row>
    <row r="1042" spans="1:19" ht="15" customHeight="1" hidden="1" thickBot="1">
      <c r="A1042" s="62"/>
      <c r="B1042" s="53"/>
      <c r="C1042" s="84"/>
      <c r="D1042" s="84"/>
      <c r="E1042" s="84"/>
      <c r="F1042" s="86" t="s">
        <v>239</v>
      </c>
      <c r="G1042" s="206">
        <v>467</v>
      </c>
      <c r="H1042" s="143">
        <f>G1042*1.052*0.91</f>
        <v>447.06844000000007</v>
      </c>
      <c r="I1042" s="143">
        <f>H1042*1.049*0.95</f>
        <v>445.526053882</v>
      </c>
      <c r="J1042" s="206">
        <v>-40</v>
      </c>
      <c r="K1042" s="269">
        <v>427</v>
      </c>
      <c r="L1042" s="315">
        <v>75</v>
      </c>
      <c r="M1042" s="82">
        <f>72+65</f>
        <v>137</v>
      </c>
      <c r="N1042" s="89">
        <v>628.127</v>
      </c>
      <c r="O1042" s="378">
        <v>109</v>
      </c>
      <c r="P1042" s="275"/>
      <c r="Q1042" s="460">
        <f t="shared" si="212"/>
        <v>737.127</v>
      </c>
      <c r="R1042" s="460">
        <f t="shared" si="212"/>
        <v>846.127</v>
      </c>
      <c r="S1042" s="496">
        <f t="shared" si="213"/>
        <v>114.78713980087556</v>
      </c>
    </row>
    <row r="1043" spans="1:19" ht="31.5" customHeight="1">
      <c r="A1043" s="48" t="s">
        <v>476</v>
      </c>
      <c r="B1043" s="33" t="s">
        <v>340</v>
      </c>
      <c r="C1043" s="34" t="s">
        <v>472</v>
      </c>
      <c r="D1043" s="34" t="s">
        <v>198</v>
      </c>
      <c r="E1043" s="34" t="s">
        <v>477</v>
      </c>
      <c r="F1043" s="36"/>
      <c r="G1043" s="200">
        <f>G1045</f>
        <v>0</v>
      </c>
      <c r="H1043" s="200">
        <f>H1045</f>
        <v>0</v>
      </c>
      <c r="I1043" s="200">
        <f>I1045</f>
        <v>0</v>
      </c>
      <c r="J1043" s="200">
        <f>J1045</f>
        <v>3000</v>
      </c>
      <c r="K1043" s="286">
        <f aca="true" t="shared" si="214" ref="K1043:R1043">K1044</f>
        <v>3000</v>
      </c>
      <c r="L1043" s="286">
        <f t="shared" si="214"/>
        <v>0</v>
      </c>
      <c r="M1043" s="286">
        <f t="shared" si="214"/>
        <v>0</v>
      </c>
      <c r="N1043" s="286">
        <f t="shared" si="214"/>
        <v>3000</v>
      </c>
      <c r="O1043" s="286">
        <f t="shared" si="214"/>
        <v>0</v>
      </c>
      <c r="P1043" s="286">
        <f t="shared" si="214"/>
        <v>0</v>
      </c>
      <c r="Q1043" s="471">
        <f t="shared" si="214"/>
        <v>3000</v>
      </c>
      <c r="R1043" s="472">
        <f t="shared" si="214"/>
        <v>3000</v>
      </c>
      <c r="S1043" s="473">
        <f t="shared" si="213"/>
        <v>100</v>
      </c>
    </row>
    <row r="1044" spans="1:19" ht="15.75" customHeight="1" thickBot="1">
      <c r="A1044" s="397" t="s">
        <v>120</v>
      </c>
      <c r="B1044" s="210" t="s">
        <v>340</v>
      </c>
      <c r="C1044" s="118" t="s">
        <v>472</v>
      </c>
      <c r="D1044" s="118" t="s">
        <v>198</v>
      </c>
      <c r="E1044" s="118" t="s">
        <v>477</v>
      </c>
      <c r="F1044" s="119" t="s">
        <v>112</v>
      </c>
      <c r="G1044" s="94">
        <f>G1045</f>
        <v>0</v>
      </c>
      <c r="H1044" s="87">
        <f>H1045</f>
        <v>0</v>
      </c>
      <c r="I1044" s="87">
        <f>I1045</f>
        <v>0</v>
      </c>
      <c r="J1044" s="94">
        <f>J1045</f>
        <v>3000</v>
      </c>
      <c r="K1044" s="291">
        <f>K1045</f>
        <v>3000</v>
      </c>
      <c r="L1044" s="329"/>
      <c r="M1044" s="87"/>
      <c r="N1044" s="94">
        <f>K1044+L1044+M1044</f>
        <v>3000</v>
      </c>
      <c r="O1044" s="94"/>
      <c r="P1044" s="291"/>
      <c r="Q1044" s="488">
        <f>N1044+O1044+P1044</f>
        <v>3000</v>
      </c>
      <c r="R1044" s="489">
        <v>3000</v>
      </c>
      <c r="S1044" s="515">
        <f t="shared" si="213"/>
        <v>100</v>
      </c>
    </row>
    <row r="1045" spans="1:19" ht="0.75" customHeight="1" hidden="1" thickBot="1">
      <c r="A1045" s="146" t="s">
        <v>120</v>
      </c>
      <c r="B1045" s="220" t="s">
        <v>340</v>
      </c>
      <c r="C1045" s="79" t="s">
        <v>472</v>
      </c>
      <c r="D1045" s="79" t="s">
        <v>198</v>
      </c>
      <c r="E1045" s="79" t="s">
        <v>477</v>
      </c>
      <c r="F1045" s="81" t="s">
        <v>112</v>
      </c>
      <c r="G1045" s="205"/>
      <c r="H1045" s="134"/>
      <c r="I1045" s="134"/>
      <c r="J1045" s="205">
        <v>3000</v>
      </c>
      <c r="K1045" s="174">
        <f>G1045+J1045</f>
        <v>3000</v>
      </c>
      <c r="L1045" s="407"/>
      <c r="M1045" s="134"/>
      <c r="N1045" s="205"/>
      <c r="O1045" s="205"/>
      <c r="P1045" s="174"/>
      <c r="Q1045" s="519"/>
      <c r="R1045" s="519"/>
      <c r="S1045" s="520" t="e">
        <f t="shared" si="213"/>
        <v>#DIV/0!</v>
      </c>
    </row>
    <row r="1046" spans="1:19" ht="30.75" customHeight="1">
      <c r="A1046" s="105" t="s">
        <v>542</v>
      </c>
      <c r="B1046" s="71" t="s">
        <v>340</v>
      </c>
      <c r="C1046" s="72" t="s">
        <v>472</v>
      </c>
      <c r="D1046" s="72" t="s">
        <v>198</v>
      </c>
      <c r="E1046" s="72" t="s">
        <v>508</v>
      </c>
      <c r="F1046" s="74"/>
      <c r="G1046" s="96">
        <f aca="true" t="shared" si="215" ref="G1046:R1046">G1047</f>
        <v>0</v>
      </c>
      <c r="H1046" s="96">
        <f t="shared" si="215"/>
        <v>0</v>
      </c>
      <c r="I1046" s="96">
        <f t="shared" si="215"/>
        <v>0</v>
      </c>
      <c r="J1046" s="96">
        <f t="shared" si="215"/>
        <v>740</v>
      </c>
      <c r="K1046" s="287">
        <f t="shared" si="215"/>
        <v>740</v>
      </c>
      <c r="L1046" s="287">
        <f t="shared" si="215"/>
        <v>-0.074</v>
      </c>
      <c r="M1046" s="287">
        <f t="shared" si="215"/>
        <v>0</v>
      </c>
      <c r="N1046" s="287">
        <f t="shared" si="215"/>
        <v>739.926</v>
      </c>
      <c r="O1046" s="287">
        <f t="shared" si="215"/>
        <v>0</v>
      </c>
      <c r="P1046" s="287">
        <f t="shared" si="215"/>
        <v>0</v>
      </c>
      <c r="Q1046" s="471">
        <f t="shared" si="215"/>
        <v>739.926</v>
      </c>
      <c r="R1046" s="472">
        <f t="shared" si="215"/>
        <v>739.926</v>
      </c>
      <c r="S1046" s="473">
        <f t="shared" si="213"/>
        <v>100</v>
      </c>
    </row>
    <row r="1047" spans="1:19" ht="15.75" customHeight="1" thickBot="1">
      <c r="A1047" s="404" t="s">
        <v>120</v>
      </c>
      <c r="B1047" s="220" t="s">
        <v>340</v>
      </c>
      <c r="C1047" s="79" t="s">
        <v>472</v>
      </c>
      <c r="D1047" s="79" t="s">
        <v>198</v>
      </c>
      <c r="E1047" s="79" t="s">
        <v>508</v>
      </c>
      <c r="F1047" s="81" t="s">
        <v>112</v>
      </c>
      <c r="G1047" s="205"/>
      <c r="H1047" s="205"/>
      <c r="I1047" s="205"/>
      <c r="J1047" s="205">
        <v>740</v>
      </c>
      <c r="K1047" s="280">
        <v>740</v>
      </c>
      <c r="L1047" s="331">
        <v>-0.074</v>
      </c>
      <c r="M1047" s="137"/>
      <c r="N1047" s="102">
        <f>K1047+L1047+M1047</f>
        <v>739.926</v>
      </c>
      <c r="O1047" s="102"/>
      <c r="P1047" s="280"/>
      <c r="Q1047" s="488">
        <f>N1047+O1047+P1047</f>
        <v>739.926</v>
      </c>
      <c r="R1047" s="489">
        <f>O1047+P1047+Q1047</f>
        <v>739.926</v>
      </c>
      <c r="S1047" s="477">
        <f t="shared" si="213"/>
        <v>100</v>
      </c>
    </row>
    <row r="1048" spans="1:19" ht="16.5" customHeight="1">
      <c r="A1048" s="48" t="s">
        <v>478</v>
      </c>
      <c r="B1048" s="33" t="s">
        <v>340</v>
      </c>
      <c r="C1048" s="34" t="s">
        <v>472</v>
      </c>
      <c r="D1048" s="34" t="s">
        <v>198</v>
      </c>
      <c r="E1048" s="34" t="s">
        <v>479</v>
      </c>
      <c r="F1048" s="36"/>
      <c r="G1048" s="207" t="e">
        <f aca="true" t="shared" si="216" ref="G1048:R1048">G1049</f>
        <v>#REF!</v>
      </c>
      <c r="H1048" s="49" t="e">
        <f t="shared" si="216"/>
        <v>#REF!</v>
      </c>
      <c r="I1048" s="49" t="e">
        <f t="shared" si="216"/>
        <v>#REF!</v>
      </c>
      <c r="J1048" s="207" t="e">
        <f t="shared" si="216"/>
        <v>#REF!</v>
      </c>
      <c r="K1048" s="302" t="e">
        <f t="shared" si="216"/>
        <v>#REF!</v>
      </c>
      <c r="L1048" s="302" t="e">
        <f t="shared" si="216"/>
        <v>#REF!</v>
      </c>
      <c r="M1048" s="302" t="e">
        <f t="shared" si="216"/>
        <v>#REF!</v>
      </c>
      <c r="N1048" s="302" t="e">
        <f t="shared" si="216"/>
        <v>#REF!</v>
      </c>
      <c r="O1048" s="302" t="e">
        <f t="shared" si="216"/>
        <v>#REF!</v>
      </c>
      <c r="P1048" s="302" t="e">
        <f t="shared" si="216"/>
        <v>#REF!</v>
      </c>
      <c r="Q1048" s="480">
        <f t="shared" si="216"/>
        <v>3937.392</v>
      </c>
      <c r="R1048" s="480">
        <f t="shared" si="216"/>
        <v>3801.73409</v>
      </c>
      <c r="S1048" s="481">
        <f t="shared" si="213"/>
        <v>96.55462524432417</v>
      </c>
    </row>
    <row r="1049" spans="1:19" ht="29.25" customHeight="1">
      <c r="A1049" s="46" t="s">
        <v>184</v>
      </c>
      <c r="B1049" s="71" t="s">
        <v>340</v>
      </c>
      <c r="C1049" s="72" t="s">
        <v>472</v>
      </c>
      <c r="D1049" s="72" t="s">
        <v>198</v>
      </c>
      <c r="E1049" s="72" t="s">
        <v>480</v>
      </c>
      <c r="F1049" s="74"/>
      <c r="G1049" s="96" t="e">
        <f>G1050+#REF!</f>
        <v>#REF!</v>
      </c>
      <c r="H1049" s="96" t="e">
        <f>H1050+#REF!</f>
        <v>#REF!</v>
      </c>
      <c r="I1049" s="96" t="e">
        <f>I1050+#REF!</f>
        <v>#REF!</v>
      </c>
      <c r="J1049" s="96" t="e">
        <f>J1050+#REF!</f>
        <v>#REF!</v>
      </c>
      <c r="K1049" s="287" t="e">
        <f>K1050+#REF!</f>
        <v>#REF!</v>
      </c>
      <c r="L1049" s="287" t="e">
        <f>L1050+#REF!</f>
        <v>#REF!</v>
      </c>
      <c r="M1049" s="287" t="e">
        <f>M1050+#REF!</f>
        <v>#REF!</v>
      </c>
      <c r="N1049" s="287" t="e">
        <f>N1050+#REF!</f>
        <v>#REF!</v>
      </c>
      <c r="O1049" s="287" t="e">
        <f>O1050+#REF!</f>
        <v>#REF!</v>
      </c>
      <c r="P1049" s="287" t="e">
        <f>P1050+#REF!</f>
        <v>#REF!</v>
      </c>
      <c r="Q1049" s="449">
        <f>Q1050</f>
        <v>3937.392</v>
      </c>
      <c r="R1049" s="449">
        <f>R1050</f>
        <v>3801.73409</v>
      </c>
      <c r="S1049" s="465">
        <f t="shared" si="213"/>
        <v>96.55462524432417</v>
      </c>
    </row>
    <row r="1050" spans="1:19" ht="15.75" customHeight="1" thickBot="1">
      <c r="A1050" s="213" t="s">
        <v>120</v>
      </c>
      <c r="B1050" s="161" t="s">
        <v>340</v>
      </c>
      <c r="C1050" s="100" t="s">
        <v>472</v>
      </c>
      <c r="D1050" s="100" t="s">
        <v>198</v>
      </c>
      <c r="E1050" s="100" t="s">
        <v>480</v>
      </c>
      <c r="F1050" s="101" t="s">
        <v>112</v>
      </c>
      <c r="G1050" s="102">
        <f aca="true" t="shared" si="217" ref="G1050:N1050">G1051+G1052+G1053+G1054+G1055+G1056+G1057+G1058+G1059+G1060+G1061</f>
        <v>2683.392</v>
      </c>
      <c r="H1050" s="102">
        <f t="shared" si="217"/>
        <v>2594.5938200000005</v>
      </c>
      <c r="I1050" s="102">
        <f t="shared" si="217"/>
        <v>2697.138553471</v>
      </c>
      <c r="J1050" s="102">
        <f t="shared" si="217"/>
        <v>170</v>
      </c>
      <c r="K1050" s="280">
        <f t="shared" si="217"/>
        <v>2853.392</v>
      </c>
      <c r="L1050" s="280">
        <f t="shared" si="217"/>
        <v>9</v>
      </c>
      <c r="M1050" s="280">
        <f t="shared" si="217"/>
        <v>178.2</v>
      </c>
      <c r="N1050" s="280">
        <f t="shared" si="217"/>
        <v>3040.592</v>
      </c>
      <c r="O1050" s="280">
        <f>O1051+O1052+O1053+O1054+O1055+O1056+O1057+O1058+O1059+O1060+O1061</f>
        <v>-18</v>
      </c>
      <c r="P1050" s="280">
        <f>P1051+P1052+P1053+P1054+P1055+P1056+P1057+P1058+P1059+P1060+P1061</f>
        <v>107.3</v>
      </c>
      <c r="Q1050" s="448">
        <f>3437.392+500</f>
        <v>3937.392</v>
      </c>
      <c r="R1050" s="448">
        <f>3301.73409+500</f>
        <v>3801.73409</v>
      </c>
      <c r="S1050" s="444">
        <f t="shared" si="213"/>
        <v>96.55462524432417</v>
      </c>
    </row>
    <row r="1051" spans="1:19" ht="16.5" customHeight="1" hidden="1">
      <c r="A1051" s="147"/>
      <c r="B1051" s="30"/>
      <c r="C1051" s="79"/>
      <c r="D1051" s="79"/>
      <c r="E1051" s="155"/>
      <c r="F1051" s="81" t="s">
        <v>215</v>
      </c>
      <c r="G1051" s="205">
        <v>1802</v>
      </c>
      <c r="H1051" s="134">
        <f>1893.7*0.91</f>
        <v>1723.267</v>
      </c>
      <c r="I1051" s="134">
        <f>1893.7*0.95</f>
        <v>1799.0149999999999</v>
      </c>
      <c r="J1051" s="205">
        <v>91.7</v>
      </c>
      <c r="K1051" s="280">
        <v>1893.7</v>
      </c>
      <c r="L1051" s="331"/>
      <c r="M1051" s="137">
        <v>63.7</v>
      </c>
      <c r="N1051" s="102">
        <f aca="true" t="shared" si="218" ref="N1051:R1061">K1051+L1051+M1051</f>
        <v>1957.4</v>
      </c>
      <c r="O1051" s="102"/>
      <c r="P1051" s="452">
        <v>87.6</v>
      </c>
      <c r="Q1051" s="448">
        <f t="shared" si="218"/>
        <v>2045</v>
      </c>
      <c r="R1051" s="448">
        <f t="shared" si="218"/>
        <v>2132.6</v>
      </c>
      <c r="S1051" s="465">
        <f t="shared" si="213"/>
        <v>104.28361858190709</v>
      </c>
    </row>
    <row r="1052" spans="1:19" ht="13.5" customHeight="1" hidden="1">
      <c r="A1052" s="105"/>
      <c r="B1052" s="71"/>
      <c r="C1052" s="76"/>
      <c r="D1052" s="76"/>
      <c r="E1052" s="156"/>
      <c r="F1052" s="78" t="s">
        <v>216</v>
      </c>
      <c r="G1052" s="89">
        <v>1</v>
      </c>
      <c r="H1052" s="82">
        <f>G1052*1.052*0.91</f>
        <v>0.9573200000000001</v>
      </c>
      <c r="I1052" s="82">
        <f>H1052*1.049*0.95</f>
        <v>0.9540172459999999</v>
      </c>
      <c r="J1052" s="89"/>
      <c r="K1052" s="280">
        <v>1</v>
      </c>
      <c r="L1052" s="315">
        <v>1</v>
      </c>
      <c r="M1052" s="82"/>
      <c r="N1052" s="89">
        <f t="shared" si="218"/>
        <v>2</v>
      </c>
      <c r="O1052" s="378">
        <v>2</v>
      </c>
      <c r="P1052" s="275"/>
      <c r="Q1052" s="448">
        <f t="shared" si="218"/>
        <v>4</v>
      </c>
      <c r="R1052" s="448">
        <f t="shared" si="218"/>
        <v>6</v>
      </c>
      <c r="S1052" s="465">
        <f t="shared" si="213"/>
        <v>150</v>
      </c>
    </row>
    <row r="1053" spans="1:19" ht="13.5" hidden="1" thickBot="1">
      <c r="A1053" s="147"/>
      <c r="B1053" s="30"/>
      <c r="C1053" s="79"/>
      <c r="D1053" s="79"/>
      <c r="E1053" s="155"/>
      <c r="F1053" s="81" t="s">
        <v>217</v>
      </c>
      <c r="G1053" s="205">
        <v>543.392</v>
      </c>
      <c r="H1053" s="134">
        <f>571.7*0.91</f>
        <v>520.2470000000001</v>
      </c>
      <c r="I1053" s="134">
        <f>571.7*0.95</f>
        <v>543.115</v>
      </c>
      <c r="J1053" s="205">
        <v>27.7</v>
      </c>
      <c r="K1053" s="280">
        <v>571.092</v>
      </c>
      <c r="L1053" s="315"/>
      <c r="M1053" s="82">
        <v>114.5</v>
      </c>
      <c r="N1053" s="89">
        <f t="shared" si="218"/>
        <v>685.592</v>
      </c>
      <c r="O1053" s="89"/>
      <c r="P1053" s="451">
        <v>19.7</v>
      </c>
      <c r="Q1053" s="448">
        <f t="shared" si="218"/>
        <v>705.292</v>
      </c>
      <c r="R1053" s="448">
        <f t="shared" si="218"/>
        <v>724.9920000000001</v>
      </c>
      <c r="S1053" s="465">
        <f t="shared" si="213"/>
        <v>102.79316935396972</v>
      </c>
    </row>
    <row r="1054" spans="1:19" ht="13.5" hidden="1" thickBot="1">
      <c r="A1054" s="105"/>
      <c r="B1054" s="71"/>
      <c r="C1054" s="76"/>
      <c r="D1054" s="76"/>
      <c r="E1054" s="156"/>
      <c r="F1054" s="78" t="s">
        <v>233</v>
      </c>
      <c r="G1054" s="89">
        <v>66</v>
      </c>
      <c r="H1054" s="82">
        <f>G1054*1.052*0.91</f>
        <v>63.18312</v>
      </c>
      <c r="I1054" s="82">
        <f>H1054*1.049*0.95</f>
        <v>62.96513823599999</v>
      </c>
      <c r="J1054" s="89"/>
      <c r="K1054" s="280">
        <v>66</v>
      </c>
      <c r="L1054" s="315"/>
      <c r="M1054" s="82"/>
      <c r="N1054" s="89">
        <f t="shared" si="218"/>
        <v>66</v>
      </c>
      <c r="O1054" s="89">
        <f>-10-2.5</f>
        <v>-12.5</v>
      </c>
      <c r="P1054" s="275"/>
      <c r="Q1054" s="448">
        <f t="shared" si="218"/>
        <v>53.5</v>
      </c>
      <c r="R1054" s="448">
        <f t="shared" si="218"/>
        <v>41</v>
      </c>
      <c r="S1054" s="465">
        <f t="shared" si="213"/>
        <v>76.63551401869158</v>
      </c>
    </row>
    <row r="1055" spans="1:19" ht="13.5" hidden="1" thickBot="1">
      <c r="A1055" s="147"/>
      <c r="B1055" s="30"/>
      <c r="C1055" s="79"/>
      <c r="D1055" s="79"/>
      <c r="E1055" s="155"/>
      <c r="F1055" s="81" t="s">
        <v>234</v>
      </c>
      <c r="G1055" s="205">
        <v>0.5</v>
      </c>
      <c r="H1055" s="134">
        <f>8*0.91</f>
        <v>7.28</v>
      </c>
      <c r="I1055" s="134">
        <f>8*0.95</f>
        <v>7.6</v>
      </c>
      <c r="J1055" s="205"/>
      <c r="K1055" s="280">
        <v>0.5</v>
      </c>
      <c r="L1055" s="315">
        <v>1</v>
      </c>
      <c r="M1055" s="82"/>
      <c r="N1055" s="89">
        <f t="shared" si="218"/>
        <v>1.5</v>
      </c>
      <c r="O1055" s="89"/>
      <c r="P1055" s="275"/>
      <c r="Q1055" s="448">
        <f t="shared" si="218"/>
        <v>1.5</v>
      </c>
      <c r="R1055" s="448">
        <f t="shared" si="218"/>
        <v>1.5</v>
      </c>
      <c r="S1055" s="465">
        <f t="shared" si="213"/>
        <v>100</v>
      </c>
    </row>
    <row r="1056" spans="1:19" ht="13.5" hidden="1" thickBot="1">
      <c r="A1056" s="105"/>
      <c r="B1056" s="71"/>
      <c r="C1056" s="76"/>
      <c r="D1056" s="76"/>
      <c r="E1056" s="156"/>
      <c r="F1056" s="78" t="s">
        <v>244</v>
      </c>
      <c r="G1056" s="89">
        <v>30</v>
      </c>
      <c r="H1056" s="82">
        <f>G1056*1.1*0.91</f>
        <v>30.03</v>
      </c>
      <c r="I1056" s="82">
        <f>H1056*1.108*0.95</f>
        <v>31.609578</v>
      </c>
      <c r="J1056" s="89">
        <v>47</v>
      </c>
      <c r="K1056" s="280">
        <v>77</v>
      </c>
      <c r="L1056" s="315">
        <v>-2</v>
      </c>
      <c r="M1056" s="82"/>
      <c r="N1056" s="89">
        <f t="shared" si="218"/>
        <v>75</v>
      </c>
      <c r="O1056" s="378">
        <v>-19.3</v>
      </c>
      <c r="P1056" s="275"/>
      <c r="Q1056" s="448">
        <f t="shared" si="218"/>
        <v>55.7</v>
      </c>
      <c r="R1056" s="448">
        <f t="shared" si="218"/>
        <v>36.400000000000006</v>
      </c>
      <c r="S1056" s="465">
        <f t="shared" si="213"/>
        <v>65.35008976660683</v>
      </c>
    </row>
    <row r="1057" spans="1:19" ht="13.5" hidden="1" thickBot="1">
      <c r="A1057" s="147"/>
      <c r="B1057" s="30"/>
      <c r="C1057" s="79"/>
      <c r="D1057" s="79"/>
      <c r="E1057" s="155"/>
      <c r="F1057" s="81" t="s">
        <v>235</v>
      </c>
      <c r="G1057" s="205">
        <v>19</v>
      </c>
      <c r="H1057" s="134">
        <f>41.3*0.91</f>
        <v>37.583</v>
      </c>
      <c r="I1057" s="134">
        <f>42.7*0.95</f>
        <v>40.565</v>
      </c>
      <c r="J1057" s="205">
        <v>3.6</v>
      </c>
      <c r="K1057" s="280">
        <v>22.6</v>
      </c>
      <c r="L1057" s="315"/>
      <c r="M1057" s="82"/>
      <c r="N1057" s="89">
        <f t="shared" si="218"/>
        <v>22.6</v>
      </c>
      <c r="O1057" s="89"/>
      <c r="P1057" s="275"/>
      <c r="Q1057" s="448">
        <f t="shared" si="218"/>
        <v>22.6</v>
      </c>
      <c r="R1057" s="448">
        <f t="shared" si="218"/>
        <v>22.6</v>
      </c>
      <c r="S1057" s="465">
        <f t="shared" si="213"/>
        <v>100</v>
      </c>
    </row>
    <row r="1058" spans="1:19" ht="13.5" hidden="1" thickBot="1">
      <c r="A1058" s="105"/>
      <c r="B1058" s="71"/>
      <c r="C1058" s="76"/>
      <c r="D1058" s="76"/>
      <c r="E1058" s="156"/>
      <c r="F1058" s="78" t="s">
        <v>236</v>
      </c>
      <c r="G1058" s="89">
        <v>70.5</v>
      </c>
      <c r="H1058" s="82">
        <f>G1058*1.052*0.91</f>
        <v>67.49106</v>
      </c>
      <c r="I1058" s="82">
        <f>H1058*1.049*0.95</f>
        <v>67.258215843</v>
      </c>
      <c r="J1058" s="89"/>
      <c r="K1058" s="280">
        <v>70.5</v>
      </c>
      <c r="L1058" s="315"/>
      <c r="M1058" s="82"/>
      <c r="N1058" s="89">
        <f t="shared" si="218"/>
        <v>70.5</v>
      </c>
      <c r="O1058" s="378">
        <f>39.5-27.5</f>
        <v>12</v>
      </c>
      <c r="P1058" s="275"/>
      <c r="Q1058" s="448">
        <f t="shared" si="218"/>
        <v>82.5</v>
      </c>
      <c r="R1058" s="448">
        <f t="shared" si="218"/>
        <v>94.5</v>
      </c>
      <c r="S1058" s="465">
        <f t="shared" si="213"/>
        <v>114.54545454545455</v>
      </c>
    </row>
    <row r="1059" spans="1:19" ht="13.5" hidden="1" thickBot="1">
      <c r="A1059" s="147"/>
      <c r="B1059" s="30"/>
      <c r="C1059" s="79"/>
      <c r="D1059" s="79"/>
      <c r="E1059" s="155"/>
      <c r="F1059" s="81" t="s">
        <v>237</v>
      </c>
      <c r="G1059" s="205">
        <v>15</v>
      </c>
      <c r="H1059" s="134">
        <f>G1059*1.052*0.91</f>
        <v>14.359800000000002</v>
      </c>
      <c r="I1059" s="134">
        <f>H1059*1.049*0.95</f>
        <v>14.31025869</v>
      </c>
      <c r="J1059" s="205"/>
      <c r="K1059" s="280">
        <v>15</v>
      </c>
      <c r="L1059" s="315"/>
      <c r="M1059" s="82"/>
      <c r="N1059" s="89">
        <f t="shared" si="218"/>
        <v>15</v>
      </c>
      <c r="O1059" s="378">
        <v>-2</v>
      </c>
      <c r="P1059" s="275"/>
      <c r="Q1059" s="448">
        <f t="shared" si="218"/>
        <v>13</v>
      </c>
      <c r="R1059" s="448">
        <f t="shared" si="218"/>
        <v>11</v>
      </c>
      <c r="S1059" s="465">
        <f t="shared" si="213"/>
        <v>84.61538461538461</v>
      </c>
    </row>
    <row r="1060" spans="1:19" ht="13.5" hidden="1" thickBot="1">
      <c r="A1060" s="105"/>
      <c r="B1060" s="71"/>
      <c r="C1060" s="76"/>
      <c r="D1060" s="76"/>
      <c r="E1060" s="156"/>
      <c r="F1060" s="78" t="s">
        <v>238</v>
      </c>
      <c r="G1060" s="89">
        <v>28</v>
      </c>
      <c r="H1060" s="82">
        <f>G1060*1.052*0.91</f>
        <v>26.804960000000005</v>
      </c>
      <c r="I1060" s="82">
        <f>H1060*1.049*0.95</f>
        <v>26.712482888000004</v>
      </c>
      <c r="J1060" s="89"/>
      <c r="K1060" s="280">
        <v>28</v>
      </c>
      <c r="L1060" s="315"/>
      <c r="M1060" s="82"/>
      <c r="N1060" s="89">
        <f t="shared" si="218"/>
        <v>28</v>
      </c>
      <c r="O1060" s="89"/>
      <c r="P1060" s="275"/>
      <c r="Q1060" s="448">
        <f t="shared" si="218"/>
        <v>28</v>
      </c>
      <c r="R1060" s="448">
        <f t="shared" si="218"/>
        <v>28</v>
      </c>
      <c r="S1060" s="465">
        <f t="shared" si="213"/>
        <v>100</v>
      </c>
    </row>
    <row r="1061" spans="1:19" ht="13.5" hidden="1" thickBot="1">
      <c r="A1061" s="56"/>
      <c r="B1061" s="53"/>
      <c r="C1061" s="84"/>
      <c r="D1061" s="84"/>
      <c r="E1061" s="157"/>
      <c r="F1061" s="86" t="s">
        <v>239</v>
      </c>
      <c r="G1061" s="206">
        <v>108</v>
      </c>
      <c r="H1061" s="143">
        <f>G1061*1.052*0.91</f>
        <v>103.39056000000001</v>
      </c>
      <c r="I1061" s="143">
        <f>H1061*1.049*0.95</f>
        <v>103.03386256799999</v>
      </c>
      <c r="J1061" s="206"/>
      <c r="K1061" s="280">
        <v>108</v>
      </c>
      <c r="L1061" s="315">
        <v>9</v>
      </c>
      <c r="M1061" s="82"/>
      <c r="N1061" s="89">
        <f t="shared" si="218"/>
        <v>117</v>
      </c>
      <c r="O1061" s="89">
        <v>1.8</v>
      </c>
      <c r="P1061" s="275"/>
      <c r="Q1061" s="460">
        <f t="shared" si="218"/>
        <v>118.8</v>
      </c>
      <c r="R1061" s="460">
        <f t="shared" si="218"/>
        <v>120.6</v>
      </c>
      <c r="S1061" s="496">
        <f t="shared" si="213"/>
        <v>101.51515151515152</v>
      </c>
    </row>
    <row r="1062" spans="1:19" ht="26.25" customHeight="1">
      <c r="A1062" s="138" t="s">
        <v>543</v>
      </c>
      <c r="B1062" s="99" t="s">
        <v>340</v>
      </c>
      <c r="C1062" s="112" t="s">
        <v>472</v>
      </c>
      <c r="D1062" s="112" t="s">
        <v>198</v>
      </c>
      <c r="E1062" s="112" t="s">
        <v>508</v>
      </c>
      <c r="F1062" s="104"/>
      <c r="G1062" s="88">
        <f aca="true" t="shared" si="219" ref="G1062:R1062">G1063</f>
        <v>0</v>
      </c>
      <c r="H1062" s="88">
        <f t="shared" si="219"/>
        <v>0</v>
      </c>
      <c r="I1062" s="88">
        <f t="shared" si="219"/>
        <v>0</v>
      </c>
      <c r="J1062" s="88">
        <f t="shared" si="219"/>
        <v>180</v>
      </c>
      <c r="K1062" s="290">
        <f t="shared" si="219"/>
        <v>180</v>
      </c>
      <c r="L1062" s="290">
        <f t="shared" si="219"/>
        <v>0.034</v>
      </c>
      <c r="M1062" s="290">
        <f t="shared" si="219"/>
        <v>0</v>
      </c>
      <c r="N1062" s="290">
        <f t="shared" si="219"/>
        <v>180.034</v>
      </c>
      <c r="O1062" s="290">
        <f t="shared" si="219"/>
        <v>0</v>
      </c>
      <c r="P1062" s="290">
        <f t="shared" si="219"/>
        <v>0</v>
      </c>
      <c r="Q1062" s="471">
        <f t="shared" si="219"/>
        <v>180.034</v>
      </c>
      <c r="R1062" s="472">
        <f t="shared" si="219"/>
        <v>180.034</v>
      </c>
      <c r="S1062" s="473">
        <f t="shared" si="213"/>
        <v>100</v>
      </c>
    </row>
    <row r="1063" spans="1:19" ht="15.75" customHeight="1" thickBot="1">
      <c r="A1063" s="404" t="s">
        <v>120</v>
      </c>
      <c r="B1063" s="220" t="s">
        <v>340</v>
      </c>
      <c r="C1063" s="79" t="s">
        <v>472</v>
      </c>
      <c r="D1063" s="79" t="s">
        <v>198</v>
      </c>
      <c r="E1063" s="79" t="s">
        <v>508</v>
      </c>
      <c r="F1063" s="81" t="s">
        <v>112</v>
      </c>
      <c r="G1063" s="205"/>
      <c r="H1063" s="205"/>
      <c r="I1063" s="205"/>
      <c r="J1063" s="205">
        <v>180</v>
      </c>
      <c r="K1063" s="280">
        <v>180</v>
      </c>
      <c r="L1063" s="331">
        <v>0.034</v>
      </c>
      <c r="M1063" s="137"/>
      <c r="N1063" s="102">
        <f>K1063+L1063+M1063</f>
        <v>180.034</v>
      </c>
      <c r="O1063" s="102"/>
      <c r="P1063" s="280"/>
      <c r="Q1063" s="488">
        <f>N1063+O1063+P1063</f>
        <v>180.034</v>
      </c>
      <c r="R1063" s="489">
        <f>O1063+P1063+Q1063</f>
        <v>180.034</v>
      </c>
      <c r="S1063" s="477">
        <f t="shared" si="213"/>
        <v>100</v>
      </c>
    </row>
    <row r="1064" spans="1:19" ht="28.5" customHeight="1">
      <c r="A1064" s="341" t="s">
        <v>183</v>
      </c>
      <c r="B1064" s="342" t="s">
        <v>340</v>
      </c>
      <c r="C1064" s="343" t="s">
        <v>472</v>
      </c>
      <c r="D1064" s="343" t="s">
        <v>198</v>
      </c>
      <c r="E1064" s="251" t="s">
        <v>474</v>
      </c>
      <c r="F1064" s="69"/>
      <c r="G1064" s="200">
        <f aca="true" t="shared" si="220" ref="G1064:R1064">G1065</f>
        <v>150.7</v>
      </c>
      <c r="H1064" s="200">
        <f t="shared" si="220"/>
        <v>150.7</v>
      </c>
      <c r="I1064" s="200">
        <f t="shared" si="220"/>
        <v>150.7</v>
      </c>
      <c r="J1064" s="200">
        <f t="shared" si="220"/>
        <v>0</v>
      </c>
      <c r="K1064" s="286">
        <f t="shared" si="220"/>
        <v>150.7</v>
      </c>
      <c r="L1064" s="286">
        <f t="shared" si="220"/>
        <v>0</v>
      </c>
      <c r="M1064" s="286">
        <f t="shared" si="220"/>
        <v>0</v>
      </c>
      <c r="N1064" s="286">
        <f t="shared" si="220"/>
        <v>150.7</v>
      </c>
      <c r="O1064" s="286">
        <f t="shared" si="220"/>
        <v>0</v>
      </c>
      <c r="P1064" s="286">
        <f t="shared" si="220"/>
        <v>0</v>
      </c>
      <c r="Q1064" s="471">
        <f t="shared" si="220"/>
        <v>150.7</v>
      </c>
      <c r="R1064" s="472">
        <f t="shared" si="220"/>
        <v>150.7</v>
      </c>
      <c r="S1064" s="473">
        <f t="shared" si="213"/>
        <v>100</v>
      </c>
    </row>
    <row r="1065" spans="1:19" ht="26.25" customHeight="1">
      <c r="A1065" s="344" t="s">
        <v>546</v>
      </c>
      <c r="B1065" s="345" t="s">
        <v>340</v>
      </c>
      <c r="C1065" s="346" t="s">
        <v>472</v>
      </c>
      <c r="D1065" s="346" t="s">
        <v>198</v>
      </c>
      <c r="E1065" s="252" t="s">
        <v>182</v>
      </c>
      <c r="F1065" s="104"/>
      <c r="G1065" s="88">
        <f>G1066+G1128+G1132</f>
        <v>150.7</v>
      </c>
      <c r="H1065" s="88">
        <f>H1066+H1128+H1132</f>
        <v>150.7</v>
      </c>
      <c r="I1065" s="88">
        <f>I1066+I1128+I1132</f>
        <v>150.7</v>
      </c>
      <c r="J1065" s="88">
        <f>J1066+J1128+J1132</f>
        <v>0</v>
      </c>
      <c r="K1065" s="290">
        <f aca="true" t="shared" si="221" ref="K1065:Q1065">K1067+K1130+K1134</f>
        <v>150.7</v>
      </c>
      <c r="L1065" s="290">
        <f t="shared" si="221"/>
        <v>0</v>
      </c>
      <c r="M1065" s="290">
        <f t="shared" si="221"/>
        <v>0</v>
      </c>
      <c r="N1065" s="290">
        <f t="shared" si="221"/>
        <v>150.7</v>
      </c>
      <c r="O1065" s="290">
        <f t="shared" si="221"/>
        <v>0</v>
      </c>
      <c r="P1065" s="290">
        <f t="shared" si="221"/>
        <v>0</v>
      </c>
      <c r="Q1065" s="474">
        <f t="shared" si="221"/>
        <v>150.7</v>
      </c>
      <c r="R1065" s="449">
        <f>R1067+R1130+R1134</f>
        <v>150.7</v>
      </c>
      <c r="S1065" s="465">
        <f t="shared" si="213"/>
        <v>100</v>
      </c>
    </row>
    <row r="1066" spans="1:19" ht="38.25">
      <c r="A1066" s="347" t="s">
        <v>547</v>
      </c>
      <c r="B1066" s="345" t="s">
        <v>340</v>
      </c>
      <c r="C1066" s="346" t="s">
        <v>472</v>
      </c>
      <c r="D1066" s="346" t="s">
        <v>198</v>
      </c>
      <c r="E1066" s="112" t="s">
        <v>481</v>
      </c>
      <c r="F1066" s="104"/>
      <c r="G1066" s="88">
        <f aca="true" t="shared" si="222" ref="G1066:R1066">G1067</f>
        <v>65.6</v>
      </c>
      <c r="H1066" s="55">
        <f t="shared" si="222"/>
        <v>65.6</v>
      </c>
      <c r="I1066" s="55">
        <f t="shared" si="222"/>
        <v>65.6</v>
      </c>
      <c r="J1066" s="88">
        <f t="shared" si="222"/>
        <v>0</v>
      </c>
      <c r="K1066" s="290">
        <f t="shared" si="222"/>
        <v>65.6</v>
      </c>
      <c r="L1066" s="290">
        <f t="shared" si="222"/>
        <v>0</v>
      </c>
      <c r="M1066" s="290">
        <f t="shared" si="222"/>
        <v>0</v>
      </c>
      <c r="N1066" s="290">
        <f t="shared" si="222"/>
        <v>65.6</v>
      </c>
      <c r="O1066" s="290">
        <f t="shared" si="222"/>
        <v>0</v>
      </c>
      <c r="P1066" s="290">
        <f t="shared" si="222"/>
        <v>0</v>
      </c>
      <c r="Q1066" s="474">
        <f t="shared" si="222"/>
        <v>65.6</v>
      </c>
      <c r="R1066" s="449">
        <f t="shared" si="222"/>
        <v>65.6</v>
      </c>
      <c r="S1066" s="465">
        <f t="shared" si="213"/>
        <v>100</v>
      </c>
    </row>
    <row r="1067" spans="1:19" ht="15.75" customHeight="1">
      <c r="A1067" s="408" t="s">
        <v>482</v>
      </c>
      <c r="B1067" s="348" t="s">
        <v>340</v>
      </c>
      <c r="C1067" s="254" t="s">
        <v>472</v>
      </c>
      <c r="D1067" s="254" t="s">
        <v>198</v>
      </c>
      <c r="E1067" s="254" t="s">
        <v>481</v>
      </c>
      <c r="F1067" s="78" t="s">
        <v>121</v>
      </c>
      <c r="G1067" s="89">
        <f>G1127</f>
        <v>65.6</v>
      </c>
      <c r="H1067" s="82">
        <f>H1127</f>
        <v>65.6</v>
      </c>
      <c r="I1067" s="82">
        <f>I1127</f>
        <v>65.6</v>
      </c>
      <c r="J1067" s="89"/>
      <c r="K1067" s="275">
        <v>65.6</v>
      </c>
      <c r="L1067" s="315"/>
      <c r="M1067" s="82"/>
      <c r="N1067" s="89">
        <f>K1067+L1067+M1067</f>
        <v>65.6</v>
      </c>
      <c r="O1067" s="89"/>
      <c r="P1067" s="275"/>
      <c r="Q1067" s="487">
        <f>N1067+O1067+P1067</f>
        <v>65.6</v>
      </c>
      <c r="R1067" s="448">
        <v>65.6</v>
      </c>
      <c r="S1067" s="444">
        <f t="shared" si="213"/>
        <v>100</v>
      </c>
    </row>
    <row r="1068" spans="1:19" ht="12.75" hidden="1">
      <c r="A1068" s="351" t="s">
        <v>229</v>
      </c>
      <c r="B1068" s="253">
        <v>905</v>
      </c>
      <c r="C1068" s="254" t="s">
        <v>472</v>
      </c>
      <c r="D1068" s="254" t="s">
        <v>198</v>
      </c>
      <c r="E1068" s="350" t="s">
        <v>481</v>
      </c>
      <c r="F1068" s="78" t="s">
        <v>399</v>
      </c>
      <c r="G1068" s="202"/>
      <c r="H1068" s="114"/>
      <c r="I1068" s="114"/>
      <c r="J1068" s="202"/>
      <c r="K1068" s="293"/>
      <c r="L1068" s="317"/>
      <c r="M1068" s="114"/>
      <c r="N1068" s="202"/>
      <c r="O1068" s="202"/>
      <c r="P1068" s="293"/>
      <c r="Q1068" s="521"/>
      <c r="R1068" s="458"/>
      <c r="S1068" s="465" t="e">
        <f t="shared" si="213"/>
        <v>#DIV/0!</v>
      </c>
    </row>
    <row r="1069" spans="1:19" ht="12" customHeight="1" hidden="1">
      <c r="A1069" s="351" t="s">
        <v>230</v>
      </c>
      <c r="B1069" s="253">
        <v>905</v>
      </c>
      <c r="C1069" s="254" t="s">
        <v>472</v>
      </c>
      <c r="D1069" s="254" t="s">
        <v>198</v>
      </c>
      <c r="E1069" s="350" t="s">
        <v>481</v>
      </c>
      <c r="F1069" s="78" t="s">
        <v>399</v>
      </c>
      <c r="G1069" s="96"/>
      <c r="H1069" s="75"/>
      <c r="I1069" s="75"/>
      <c r="J1069" s="96"/>
      <c r="K1069" s="287"/>
      <c r="L1069" s="313"/>
      <c r="M1069" s="75"/>
      <c r="N1069" s="96"/>
      <c r="O1069" s="96"/>
      <c r="P1069" s="287"/>
      <c r="Q1069" s="474"/>
      <c r="R1069" s="449"/>
      <c r="S1069" s="465" t="e">
        <f t="shared" si="213"/>
        <v>#DIV/0!</v>
      </c>
    </row>
    <row r="1070" spans="1:19" ht="13.5" customHeight="1" hidden="1">
      <c r="A1070" s="349" t="s">
        <v>484</v>
      </c>
      <c r="B1070" s="253" t="s">
        <v>340</v>
      </c>
      <c r="C1070" s="350" t="s">
        <v>472</v>
      </c>
      <c r="D1070" s="350" t="s">
        <v>198</v>
      </c>
      <c r="E1070" s="350" t="s">
        <v>481</v>
      </c>
      <c r="F1070" s="74" t="s">
        <v>201</v>
      </c>
      <c r="G1070" s="96">
        <f>G1071</f>
        <v>0</v>
      </c>
      <c r="H1070" s="75">
        <f>H1071</f>
        <v>0</v>
      </c>
      <c r="I1070" s="75">
        <f>I1071</f>
        <v>0</v>
      </c>
      <c r="J1070" s="96">
        <f>J1071</f>
        <v>0</v>
      </c>
      <c r="K1070" s="287">
        <f>K1071</f>
        <v>0</v>
      </c>
      <c r="L1070" s="313"/>
      <c r="M1070" s="75"/>
      <c r="N1070" s="96"/>
      <c r="O1070" s="96"/>
      <c r="P1070" s="287"/>
      <c r="Q1070" s="474"/>
      <c r="R1070" s="449"/>
      <c r="S1070" s="465" t="e">
        <f t="shared" si="213"/>
        <v>#DIV/0!</v>
      </c>
    </row>
    <row r="1071" spans="1:19" ht="12.75" customHeight="1" hidden="1">
      <c r="A1071" s="349" t="s">
        <v>398</v>
      </c>
      <c r="B1071" s="253" t="s">
        <v>340</v>
      </c>
      <c r="C1071" s="254" t="s">
        <v>472</v>
      </c>
      <c r="D1071" s="254" t="s">
        <v>198</v>
      </c>
      <c r="E1071" s="350" t="s">
        <v>481</v>
      </c>
      <c r="F1071" s="78" t="s">
        <v>399</v>
      </c>
      <c r="G1071" s="96">
        <f>G1072+G1076</f>
        <v>0</v>
      </c>
      <c r="H1071" s="75">
        <f>H1072+H1076</f>
        <v>0</v>
      </c>
      <c r="I1071" s="75">
        <f>I1072+I1076</f>
        <v>0</v>
      </c>
      <c r="J1071" s="96">
        <f>J1072+J1076</f>
        <v>0</v>
      </c>
      <c r="K1071" s="287">
        <f>K1072+K1076</f>
        <v>0</v>
      </c>
      <c r="L1071" s="313"/>
      <c r="M1071" s="75"/>
      <c r="N1071" s="96"/>
      <c r="O1071" s="96"/>
      <c r="P1071" s="287"/>
      <c r="Q1071" s="474"/>
      <c r="R1071" s="449"/>
      <c r="S1071" s="465" t="e">
        <f t="shared" si="213"/>
        <v>#DIV/0!</v>
      </c>
    </row>
    <row r="1072" spans="1:19" ht="12.75" customHeight="1" hidden="1">
      <c r="A1072" s="349" t="s">
        <v>210</v>
      </c>
      <c r="B1072" s="253" t="s">
        <v>340</v>
      </c>
      <c r="C1072" s="254" t="s">
        <v>472</v>
      </c>
      <c r="D1072" s="254" t="s">
        <v>198</v>
      </c>
      <c r="E1072" s="350" t="s">
        <v>481</v>
      </c>
      <c r="F1072" s="78" t="s">
        <v>399</v>
      </c>
      <c r="G1072" s="96">
        <f>G1073</f>
        <v>0</v>
      </c>
      <c r="H1072" s="75">
        <f>H1073</f>
        <v>0</v>
      </c>
      <c r="I1072" s="75">
        <f>I1073</f>
        <v>0</v>
      </c>
      <c r="J1072" s="96">
        <f>J1073</f>
        <v>0</v>
      </c>
      <c r="K1072" s="287">
        <f>K1073</f>
        <v>0</v>
      </c>
      <c r="L1072" s="313"/>
      <c r="M1072" s="75"/>
      <c r="N1072" s="96"/>
      <c r="O1072" s="96"/>
      <c r="P1072" s="287"/>
      <c r="Q1072" s="474"/>
      <c r="R1072" s="449"/>
      <c r="S1072" s="465" t="e">
        <f t="shared" si="213"/>
        <v>#DIV/0!</v>
      </c>
    </row>
    <row r="1073" spans="1:19" ht="15" customHeight="1" hidden="1">
      <c r="A1073" s="349" t="s">
        <v>222</v>
      </c>
      <c r="B1073" s="253" t="s">
        <v>340</v>
      </c>
      <c r="C1073" s="254" t="s">
        <v>472</v>
      </c>
      <c r="D1073" s="254" t="s">
        <v>198</v>
      </c>
      <c r="E1073" s="350" t="s">
        <v>481</v>
      </c>
      <c r="F1073" s="78" t="s">
        <v>399</v>
      </c>
      <c r="G1073" s="96">
        <f>SUM(G1074:G1075)</f>
        <v>0</v>
      </c>
      <c r="H1073" s="75">
        <f>SUM(H1074:H1075)</f>
        <v>0</v>
      </c>
      <c r="I1073" s="75">
        <f>SUM(I1074:I1075)</f>
        <v>0</v>
      </c>
      <c r="J1073" s="96">
        <f>SUM(J1074:J1075)</f>
        <v>0</v>
      </c>
      <c r="K1073" s="287">
        <f>SUM(K1074:K1075)</f>
        <v>0</v>
      </c>
      <c r="L1073" s="313"/>
      <c r="M1073" s="75"/>
      <c r="N1073" s="96"/>
      <c r="O1073" s="96"/>
      <c r="P1073" s="287"/>
      <c r="Q1073" s="474"/>
      <c r="R1073" s="449"/>
      <c r="S1073" s="465" t="e">
        <f t="shared" si="213"/>
        <v>#DIV/0!</v>
      </c>
    </row>
    <row r="1074" spans="1:19" ht="12.75" hidden="1">
      <c r="A1074" s="349" t="s">
        <v>225</v>
      </c>
      <c r="B1074" s="253" t="s">
        <v>340</v>
      </c>
      <c r="C1074" s="254" t="s">
        <v>472</v>
      </c>
      <c r="D1074" s="254" t="s">
        <v>198</v>
      </c>
      <c r="E1074" s="350" t="s">
        <v>481</v>
      </c>
      <c r="F1074" s="78" t="s">
        <v>399</v>
      </c>
      <c r="G1074" s="96"/>
      <c r="H1074" s="75"/>
      <c r="I1074" s="75"/>
      <c r="J1074" s="96"/>
      <c r="K1074" s="287"/>
      <c r="L1074" s="313"/>
      <c r="M1074" s="75"/>
      <c r="N1074" s="96"/>
      <c r="O1074" s="96"/>
      <c r="P1074" s="287"/>
      <c r="Q1074" s="474"/>
      <c r="R1074" s="449"/>
      <c r="S1074" s="465" t="e">
        <f t="shared" si="213"/>
        <v>#DIV/0!</v>
      </c>
    </row>
    <row r="1075" spans="1:19" ht="12.75" hidden="1">
      <c r="A1075" s="349" t="s">
        <v>339</v>
      </c>
      <c r="B1075" s="253" t="s">
        <v>340</v>
      </c>
      <c r="C1075" s="254" t="s">
        <v>472</v>
      </c>
      <c r="D1075" s="254" t="s">
        <v>198</v>
      </c>
      <c r="E1075" s="350" t="s">
        <v>481</v>
      </c>
      <c r="F1075" s="78" t="s">
        <v>399</v>
      </c>
      <c r="G1075" s="96"/>
      <c r="H1075" s="75"/>
      <c r="I1075" s="75"/>
      <c r="J1075" s="96"/>
      <c r="K1075" s="287"/>
      <c r="L1075" s="313"/>
      <c r="M1075" s="75"/>
      <c r="N1075" s="96"/>
      <c r="O1075" s="96"/>
      <c r="P1075" s="287"/>
      <c r="Q1075" s="474"/>
      <c r="R1075" s="449"/>
      <c r="S1075" s="465" t="e">
        <f t="shared" si="213"/>
        <v>#DIV/0!</v>
      </c>
    </row>
    <row r="1076" spans="1:19" ht="12.75" hidden="1">
      <c r="A1076" s="349" t="s">
        <v>228</v>
      </c>
      <c r="B1076" s="253" t="s">
        <v>340</v>
      </c>
      <c r="C1076" s="254" t="s">
        <v>472</v>
      </c>
      <c r="D1076" s="254" t="s">
        <v>198</v>
      </c>
      <c r="E1076" s="350" t="s">
        <v>481</v>
      </c>
      <c r="F1076" s="78" t="s">
        <v>399</v>
      </c>
      <c r="G1076" s="96">
        <f>SUM(G1077:G1078)</f>
        <v>0</v>
      </c>
      <c r="H1076" s="75">
        <f>SUM(H1077:H1078)</f>
        <v>0</v>
      </c>
      <c r="I1076" s="75">
        <f>SUM(I1077:I1078)</f>
        <v>0</v>
      </c>
      <c r="J1076" s="96">
        <f>SUM(J1077:J1078)</f>
        <v>0</v>
      </c>
      <c r="K1076" s="287">
        <f>SUM(K1077:K1078)</f>
        <v>0</v>
      </c>
      <c r="L1076" s="313"/>
      <c r="M1076" s="75"/>
      <c r="N1076" s="96"/>
      <c r="O1076" s="96"/>
      <c r="P1076" s="287"/>
      <c r="Q1076" s="474"/>
      <c r="R1076" s="449"/>
      <c r="S1076" s="465" t="e">
        <f t="shared" si="213"/>
        <v>#DIV/0!</v>
      </c>
    </row>
    <row r="1077" spans="1:19" ht="12.75" hidden="1">
      <c r="A1077" s="349" t="s">
        <v>229</v>
      </c>
      <c r="B1077" s="253" t="s">
        <v>340</v>
      </c>
      <c r="C1077" s="254" t="s">
        <v>472</v>
      </c>
      <c r="D1077" s="254" t="s">
        <v>198</v>
      </c>
      <c r="E1077" s="350" t="s">
        <v>481</v>
      </c>
      <c r="F1077" s="78" t="s">
        <v>399</v>
      </c>
      <c r="G1077" s="96"/>
      <c r="H1077" s="75"/>
      <c r="I1077" s="75"/>
      <c r="J1077" s="96"/>
      <c r="K1077" s="287"/>
      <c r="L1077" s="313"/>
      <c r="M1077" s="75"/>
      <c r="N1077" s="96"/>
      <c r="O1077" s="96"/>
      <c r="P1077" s="287"/>
      <c r="Q1077" s="474"/>
      <c r="R1077" s="449"/>
      <c r="S1077" s="465" t="e">
        <f t="shared" si="213"/>
        <v>#DIV/0!</v>
      </c>
    </row>
    <row r="1078" spans="1:19" ht="12.75" hidden="1">
      <c r="A1078" s="349" t="s">
        <v>230</v>
      </c>
      <c r="B1078" s="253" t="s">
        <v>340</v>
      </c>
      <c r="C1078" s="254" t="s">
        <v>472</v>
      </c>
      <c r="D1078" s="254" t="s">
        <v>198</v>
      </c>
      <c r="E1078" s="350" t="s">
        <v>481</v>
      </c>
      <c r="F1078" s="78" t="s">
        <v>399</v>
      </c>
      <c r="G1078" s="96"/>
      <c r="H1078" s="75"/>
      <c r="I1078" s="75"/>
      <c r="J1078" s="96"/>
      <c r="K1078" s="287"/>
      <c r="L1078" s="313"/>
      <c r="M1078" s="75"/>
      <c r="N1078" s="96"/>
      <c r="O1078" s="96"/>
      <c r="P1078" s="287"/>
      <c r="Q1078" s="474"/>
      <c r="R1078" s="449"/>
      <c r="S1078" s="465" t="e">
        <f t="shared" si="213"/>
        <v>#DIV/0!</v>
      </c>
    </row>
    <row r="1079" spans="1:19" ht="25.5" hidden="1">
      <c r="A1079" s="351" t="s">
        <v>485</v>
      </c>
      <c r="B1079" s="253" t="s">
        <v>340</v>
      </c>
      <c r="C1079" s="350" t="s">
        <v>472</v>
      </c>
      <c r="D1079" s="350" t="s">
        <v>198</v>
      </c>
      <c r="E1079" s="350" t="s">
        <v>481</v>
      </c>
      <c r="F1079" s="74" t="s">
        <v>201</v>
      </c>
      <c r="G1079" s="96"/>
      <c r="H1079" s="75"/>
      <c r="I1079" s="75"/>
      <c r="J1079" s="96"/>
      <c r="K1079" s="287"/>
      <c r="L1079" s="313"/>
      <c r="M1079" s="75"/>
      <c r="N1079" s="96"/>
      <c r="O1079" s="96"/>
      <c r="P1079" s="287"/>
      <c r="Q1079" s="474"/>
      <c r="R1079" s="449"/>
      <c r="S1079" s="465" t="e">
        <f t="shared" si="213"/>
        <v>#DIV/0!</v>
      </c>
    </row>
    <row r="1080" spans="1:19" ht="13.5" customHeight="1" hidden="1">
      <c r="A1080" s="349" t="s">
        <v>396</v>
      </c>
      <c r="B1080" s="253" t="s">
        <v>340</v>
      </c>
      <c r="C1080" s="350" t="s">
        <v>472</v>
      </c>
      <c r="D1080" s="350" t="s">
        <v>198</v>
      </c>
      <c r="E1080" s="350" t="s">
        <v>481</v>
      </c>
      <c r="F1080" s="74" t="s">
        <v>417</v>
      </c>
      <c r="G1080" s="96">
        <f>G1079</f>
        <v>0</v>
      </c>
      <c r="H1080" s="75">
        <f>H1079</f>
        <v>0</v>
      </c>
      <c r="I1080" s="75">
        <f>I1079</f>
        <v>0</v>
      </c>
      <c r="J1080" s="96">
        <f>J1079</f>
        <v>0</v>
      </c>
      <c r="K1080" s="287">
        <f>K1079</f>
        <v>0</v>
      </c>
      <c r="L1080" s="313"/>
      <c r="M1080" s="75"/>
      <c r="N1080" s="96"/>
      <c r="O1080" s="96"/>
      <c r="P1080" s="287"/>
      <c r="Q1080" s="474"/>
      <c r="R1080" s="449"/>
      <c r="S1080" s="465" t="e">
        <f t="shared" si="213"/>
        <v>#DIV/0!</v>
      </c>
    </row>
    <row r="1081" spans="1:19" ht="12.75" hidden="1">
      <c r="A1081" s="349" t="s">
        <v>211</v>
      </c>
      <c r="B1081" s="253" t="s">
        <v>340</v>
      </c>
      <c r="C1081" s="350" t="s">
        <v>472</v>
      </c>
      <c r="D1081" s="350" t="s">
        <v>198</v>
      </c>
      <c r="E1081" s="350" t="s">
        <v>481</v>
      </c>
      <c r="F1081" s="74" t="s">
        <v>417</v>
      </c>
      <c r="G1081" s="96">
        <f>G1082+G1083+G1084</f>
        <v>0</v>
      </c>
      <c r="H1081" s="75">
        <f>H1082+H1083+H1084</f>
        <v>0</v>
      </c>
      <c r="I1081" s="75">
        <f>I1082+I1083+I1084</f>
        <v>0</v>
      </c>
      <c r="J1081" s="96">
        <f>J1082+J1083+J1084</f>
        <v>0</v>
      </c>
      <c r="K1081" s="287">
        <f>K1082+K1083+K1084</f>
        <v>0</v>
      </c>
      <c r="L1081" s="313"/>
      <c r="M1081" s="75"/>
      <c r="N1081" s="96"/>
      <c r="O1081" s="96"/>
      <c r="P1081" s="287"/>
      <c r="Q1081" s="474"/>
      <c r="R1081" s="449"/>
      <c r="S1081" s="465" t="e">
        <f t="shared" si="213"/>
        <v>#DIV/0!</v>
      </c>
    </row>
    <row r="1082" spans="1:19" ht="12.75" hidden="1">
      <c r="A1082" s="349" t="s">
        <v>212</v>
      </c>
      <c r="B1082" s="253" t="s">
        <v>340</v>
      </c>
      <c r="C1082" s="350" t="s">
        <v>472</v>
      </c>
      <c r="D1082" s="350" t="s">
        <v>198</v>
      </c>
      <c r="E1082" s="350" t="s">
        <v>481</v>
      </c>
      <c r="F1082" s="74" t="s">
        <v>417</v>
      </c>
      <c r="G1082" s="96"/>
      <c r="H1082" s="75"/>
      <c r="I1082" s="75"/>
      <c r="J1082" s="96"/>
      <c r="K1082" s="287"/>
      <c r="L1082" s="313"/>
      <c r="M1082" s="75"/>
      <c r="N1082" s="96"/>
      <c r="O1082" s="96"/>
      <c r="P1082" s="287"/>
      <c r="Q1082" s="474"/>
      <c r="R1082" s="449"/>
      <c r="S1082" s="465" t="e">
        <f t="shared" si="213"/>
        <v>#DIV/0!</v>
      </c>
    </row>
    <row r="1083" spans="1:19" ht="12.75" hidden="1">
      <c r="A1083" s="349" t="s">
        <v>213</v>
      </c>
      <c r="B1083" s="253" t="s">
        <v>340</v>
      </c>
      <c r="C1083" s="350" t="s">
        <v>472</v>
      </c>
      <c r="D1083" s="350" t="s">
        <v>198</v>
      </c>
      <c r="E1083" s="350" t="s">
        <v>481</v>
      </c>
      <c r="F1083" s="74" t="s">
        <v>417</v>
      </c>
      <c r="G1083" s="96"/>
      <c r="H1083" s="75"/>
      <c r="I1083" s="75"/>
      <c r="J1083" s="96"/>
      <c r="K1083" s="287"/>
      <c r="L1083" s="313"/>
      <c r="M1083" s="75"/>
      <c r="N1083" s="96"/>
      <c r="O1083" s="96"/>
      <c r="P1083" s="287"/>
      <c r="Q1083" s="474"/>
      <c r="R1083" s="449"/>
      <c r="S1083" s="465" t="e">
        <f t="shared" si="213"/>
        <v>#DIV/0!</v>
      </c>
    </row>
    <row r="1084" spans="1:19" ht="12.75" hidden="1">
      <c r="A1084" s="349" t="s">
        <v>214</v>
      </c>
      <c r="B1084" s="253" t="s">
        <v>340</v>
      </c>
      <c r="C1084" s="350" t="s">
        <v>472</v>
      </c>
      <c r="D1084" s="350" t="s">
        <v>198</v>
      </c>
      <c r="E1084" s="350" t="s">
        <v>481</v>
      </c>
      <c r="F1084" s="74" t="s">
        <v>417</v>
      </c>
      <c r="G1084" s="96"/>
      <c r="H1084" s="75"/>
      <c r="I1084" s="75"/>
      <c r="J1084" s="96"/>
      <c r="K1084" s="287"/>
      <c r="L1084" s="313"/>
      <c r="M1084" s="75"/>
      <c r="N1084" s="96"/>
      <c r="O1084" s="96"/>
      <c r="P1084" s="287"/>
      <c r="Q1084" s="474"/>
      <c r="R1084" s="449"/>
      <c r="S1084" s="465" t="e">
        <f t="shared" si="213"/>
        <v>#DIV/0!</v>
      </c>
    </row>
    <row r="1085" spans="1:19" ht="12.75" hidden="1">
      <c r="A1085" s="349" t="s">
        <v>222</v>
      </c>
      <c r="B1085" s="253" t="s">
        <v>340</v>
      </c>
      <c r="C1085" s="350" t="s">
        <v>472</v>
      </c>
      <c r="D1085" s="350" t="s">
        <v>198</v>
      </c>
      <c r="E1085" s="350" t="s">
        <v>481</v>
      </c>
      <c r="F1085" s="74" t="s">
        <v>417</v>
      </c>
      <c r="G1085" s="96">
        <f>G1086+G1087+G1088+G1089+G1090+G1091</f>
        <v>0</v>
      </c>
      <c r="H1085" s="75">
        <f>H1086+H1087+H1088+H1089+H1090+H1091</f>
        <v>0</v>
      </c>
      <c r="I1085" s="75">
        <f>I1086+I1087+I1088+I1089+I1090+I1091</f>
        <v>0</v>
      </c>
      <c r="J1085" s="96">
        <f>J1086+J1087+J1088+J1089+J1090+J1091</f>
        <v>0</v>
      </c>
      <c r="K1085" s="287">
        <f>K1086+K1087+K1088+K1089+K1090+K1091</f>
        <v>0</v>
      </c>
      <c r="L1085" s="313"/>
      <c r="M1085" s="75"/>
      <c r="N1085" s="96"/>
      <c r="O1085" s="96"/>
      <c r="P1085" s="287"/>
      <c r="Q1085" s="474"/>
      <c r="R1085" s="449"/>
      <c r="S1085" s="465" t="e">
        <f t="shared" si="213"/>
        <v>#DIV/0!</v>
      </c>
    </row>
    <row r="1086" spans="1:19" ht="12.75" hidden="1">
      <c r="A1086" s="349" t="s">
        <v>223</v>
      </c>
      <c r="B1086" s="253" t="s">
        <v>340</v>
      </c>
      <c r="C1086" s="350" t="s">
        <v>472</v>
      </c>
      <c r="D1086" s="350" t="s">
        <v>198</v>
      </c>
      <c r="E1086" s="350" t="s">
        <v>481</v>
      </c>
      <c r="F1086" s="74" t="s">
        <v>417</v>
      </c>
      <c r="G1086" s="96"/>
      <c r="H1086" s="75"/>
      <c r="I1086" s="75"/>
      <c r="J1086" s="96"/>
      <c r="K1086" s="287"/>
      <c r="L1086" s="313"/>
      <c r="M1086" s="75"/>
      <c r="N1086" s="96"/>
      <c r="O1086" s="96"/>
      <c r="P1086" s="287"/>
      <c r="Q1086" s="474"/>
      <c r="R1086" s="449"/>
      <c r="S1086" s="465" t="e">
        <f t="shared" si="213"/>
        <v>#DIV/0!</v>
      </c>
    </row>
    <row r="1087" spans="1:19" ht="12.75" hidden="1">
      <c r="A1087" s="349" t="s">
        <v>224</v>
      </c>
      <c r="B1087" s="253" t="s">
        <v>340</v>
      </c>
      <c r="C1087" s="350" t="s">
        <v>472</v>
      </c>
      <c r="D1087" s="350" t="s">
        <v>198</v>
      </c>
      <c r="E1087" s="350" t="s">
        <v>481</v>
      </c>
      <c r="F1087" s="74" t="s">
        <v>417</v>
      </c>
      <c r="G1087" s="96"/>
      <c r="H1087" s="75"/>
      <c r="I1087" s="75"/>
      <c r="J1087" s="96"/>
      <c r="K1087" s="287"/>
      <c r="L1087" s="313"/>
      <c r="M1087" s="75"/>
      <c r="N1087" s="96"/>
      <c r="O1087" s="96"/>
      <c r="P1087" s="287"/>
      <c r="Q1087" s="474"/>
      <c r="R1087" s="449"/>
      <c r="S1087" s="465" t="e">
        <f t="shared" si="213"/>
        <v>#DIV/0!</v>
      </c>
    </row>
    <row r="1088" spans="1:19" ht="12.75" hidden="1">
      <c r="A1088" s="349" t="s">
        <v>242</v>
      </c>
      <c r="B1088" s="253" t="s">
        <v>340</v>
      </c>
      <c r="C1088" s="350" t="s">
        <v>472</v>
      </c>
      <c r="D1088" s="350" t="s">
        <v>198</v>
      </c>
      <c r="E1088" s="350" t="s">
        <v>481</v>
      </c>
      <c r="F1088" s="74" t="s">
        <v>417</v>
      </c>
      <c r="G1088" s="96"/>
      <c r="H1088" s="75"/>
      <c r="I1088" s="75"/>
      <c r="J1088" s="96"/>
      <c r="K1088" s="287"/>
      <c r="L1088" s="313"/>
      <c r="M1088" s="75"/>
      <c r="N1088" s="96"/>
      <c r="O1088" s="96"/>
      <c r="P1088" s="287"/>
      <c r="Q1088" s="474"/>
      <c r="R1088" s="449"/>
      <c r="S1088" s="465" t="e">
        <f t="shared" si="213"/>
        <v>#DIV/0!</v>
      </c>
    </row>
    <row r="1089" spans="1:19" ht="12.75" hidden="1">
      <c r="A1089" s="349" t="s">
        <v>243</v>
      </c>
      <c r="B1089" s="253" t="s">
        <v>340</v>
      </c>
      <c r="C1089" s="350" t="s">
        <v>472</v>
      </c>
      <c r="D1089" s="350" t="s">
        <v>198</v>
      </c>
      <c r="E1089" s="350" t="s">
        <v>481</v>
      </c>
      <c r="F1089" s="74" t="s">
        <v>417</v>
      </c>
      <c r="G1089" s="96"/>
      <c r="H1089" s="75"/>
      <c r="I1089" s="75"/>
      <c r="J1089" s="96"/>
      <c r="K1089" s="287"/>
      <c r="L1089" s="313"/>
      <c r="M1089" s="75"/>
      <c r="N1089" s="96"/>
      <c r="O1089" s="96"/>
      <c r="P1089" s="287"/>
      <c r="Q1089" s="474"/>
      <c r="R1089" s="449"/>
      <c r="S1089" s="465" t="e">
        <f t="shared" si="213"/>
        <v>#DIV/0!</v>
      </c>
    </row>
    <row r="1090" spans="1:19" ht="12.75" hidden="1">
      <c r="A1090" s="349" t="s">
        <v>225</v>
      </c>
      <c r="B1090" s="253" t="s">
        <v>340</v>
      </c>
      <c r="C1090" s="350" t="s">
        <v>472</v>
      </c>
      <c r="D1090" s="350" t="s">
        <v>198</v>
      </c>
      <c r="E1090" s="350" t="s">
        <v>481</v>
      </c>
      <c r="F1090" s="74" t="s">
        <v>417</v>
      </c>
      <c r="G1090" s="96"/>
      <c r="H1090" s="75"/>
      <c r="I1090" s="75"/>
      <c r="J1090" s="96"/>
      <c r="K1090" s="287"/>
      <c r="L1090" s="313"/>
      <c r="M1090" s="75"/>
      <c r="N1090" s="96"/>
      <c r="O1090" s="96"/>
      <c r="P1090" s="287"/>
      <c r="Q1090" s="474"/>
      <c r="R1090" s="449"/>
      <c r="S1090" s="465" t="e">
        <f t="shared" si="213"/>
        <v>#DIV/0!</v>
      </c>
    </row>
    <row r="1091" spans="1:19" ht="12.75" hidden="1">
      <c r="A1091" s="349" t="s">
        <v>226</v>
      </c>
      <c r="B1091" s="253" t="s">
        <v>340</v>
      </c>
      <c r="C1091" s="350" t="s">
        <v>472</v>
      </c>
      <c r="D1091" s="350" t="s">
        <v>198</v>
      </c>
      <c r="E1091" s="350" t="s">
        <v>481</v>
      </c>
      <c r="F1091" s="74" t="s">
        <v>417</v>
      </c>
      <c r="G1091" s="96"/>
      <c r="H1091" s="75"/>
      <c r="I1091" s="75"/>
      <c r="J1091" s="96"/>
      <c r="K1091" s="287"/>
      <c r="L1091" s="313"/>
      <c r="M1091" s="75"/>
      <c r="N1091" s="96"/>
      <c r="O1091" s="96"/>
      <c r="P1091" s="287"/>
      <c r="Q1091" s="474"/>
      <c r="R1091" s="449"/>
      <c r="S1091" s="465" t="e">
        <f t="shared" si="213"/>
        <v>#DIV/0!</v>
      </c>
    </row>
    <row r="1092" spans="1:19" ht="12.75" hidden="1">
      <c r="A1092" s="349" t="s">
        <v>386</v>
      </c>
      <c r="B1092" s="253" t="s">
        <v>340</v>
      </c>
      <c r="C1092" s="350" t="s">
        <v>472</v>
      </c>
      <c r="D1092" s="350" t="s">
        <v>198</v>
      </c>
      <c r="E1092" s="350" t="s">
        <v>481</v>
      </c>
      <c r="F1092" s="74" t="s">
        <v>417</v>
      </c>
      <c r="G1092" s="96"/>
      <c r="H1092" s="75"/>
      <c r="I1092" s="75"/>
      <c r="J1092" s="96"/>
      <c r="K1092" s="287"/>
      <c r="L1092" s="313"/>
      <c r="M1092" s="75"/>
      <c r="N1092" s="96"/>
      <c r="O1092" s="96"/>
      <c r="P1092" s="287"/>
      <c r="Q1092" s="474"/>
      <c r="R1092" s="449"/>
      <c r="S1092" s="465" t="e">
        <f t="shared" si="213"/>
        <v>#DIV/0!</v>
      </c>
    </row>
    <row r="1093" spans="1:19" ht="12.75" hidden="1">
      <c r="A1093" s="349" t="s">
        <v>228</v>
      </c>
      <c r="B1093" s="253" t="s">
        <v>340</v>
      </c>
      <c r="C1093" s="350" t="s">
        <v>472</v>
      </c>
      <c r="D1093" s="350" t="s">
        <v>198</v>
      </c>
      <c r="E1093" s="350" t="s">
        <v>481</v>
      </c>
      <c r="F1093" s="74" t="s">
        <v>417</v>
      </c>
      <c r="G1093" s="96">
        <f>G1094+G1095</f>
        <v>0</v>
      </c>
      <c r="H1093" s="75">
        <f>H1094+H1095</f>
        <v>0</v>
      </c>
      <c r="I1093" s="75">
        <f>I1094+I1095</f>
        <v>0</v>
      </c>
      <c r="J1093" s="96">
        <f>J1094+J1095</f>
        <v>0</v>
      </c>
      <c r="K1093" s="287">
        <f>K1094+K1095</f>
        <v>0</v>
      </c>
      <c r="L1093" s="313"/>
      <c r="M1093" s="75"/>
      <c r="N1093" s="96"/>
      <c r="O1093" s="96"/>
      <c r="P1093" s="287"/>
      <c r="Q1093" s="474"/>
      <c r="R1093" s="449"/>
      <c r="S1093" s="465" t="e">
        <f t="shared" si="213"/>
        <v>#DIV/0!</v>
      </c>
    </row>
    <row r="1094" spans="1:19" ht="12.75" hidden="1">
      <c r="A1094" s="349" t="s">
        <v>229</v>
      </c>
      <c r="B1094" s="253" t="s">
        <v>340</v>
      </c>
      <c r="C1094" s="350" t="s">
        <v>472</v>
      </c>
      <c r="D1094" s="350" t="s">
        <v>198</v>
      </c>
      <c r="E1094" s="350" t="s">
        <v>481</v>
      </c>
      <c r="F1094" s="74" t="s">
        <v>417</v>
      </c>
      <c r="G1094" s="96"/>
      <c r="H1094" s="75"/>
      <c r="I1094" s="75"/>
      <c r="J1094" s="96"/>
      <c r="K1094" s="287"/>
      <c r="L1094" s="313"/>
      <c r="M1094" s="75"/>
      <c r="N1094" s="96"/>
      <c r="O1094" s="96"/>
      <c r="P1094" s="287"/>
      <c r="Q1094" s="474"/>
      <c r="R1094" s="449"/>
      <c r="S1094" s="465" t="e">
        <f t="shared" si="213"/>
        <v>#DIV/0!</v>
      </c>
    </row>
    <row r="1095" spans="1:19" ht="12.75" hidden="1">
      <c r="A1095" s="349" t="s">
        <v>230</v>
      </c>
      <c r="B1095" s="253" t="s">
        <v>340</v>
      </c>
      <c r="C1095" s="350" t="s">
        <v>472</v>
      </c>
      <c r="D1095" s="350" t="s">
        <v>198</v>
      </c>
      <c r="E1095" s="350" t="s">
        <v>481</v>
      </c>
      <c r="F1095" s="74" t="s">
        <v>417</v>
      </c>
      <c r="G1095" s="96"/>
      <c r="H1095" s="75"/>
      <c r="I1095" s="75"/>
      <c r="J1095" s="96"/>
      <c r="K1095" s="287"/>
      <c r="L1095" s="313"/>
      <c r="M1095" s="75"/>
      <c r="N1095" s="96"/>
      <c r="O1095" s="96"/>
      <c r="P1095" s="287"/>
      <c r="Q1095" s="474"/>
      <c r="R1095" s="449"/>
      <c r="S1095" s="465" t="e">
        <f t="shared" si="213"/>
        <v>#DIV/0!</v>
      </c>
    </row>
    <row r="1096" spans="1:19" ht="12.75" hidden="1">
      <c r="A1096" s="349" t="s">
        <v>486</v>
      </c>
      <c r="B1096" s="253" t="s">
        <v>340</v>
      </c>
      <c r="C1096" s="350" t="s">
        <v>472</v>
      </c>
      <c r="D1096" s="350" t="s">
        <v>198</v>
      </c>
      <c r="E1096" s="350" t="s">
        <v>481</v>
      </c>
      <c r="F1096" s="74" t="s">
        <v>201</v>
      </c>
      <c r="G1096" s="96">
        <f aca="true" t="shared" si="223" ref="G1096:K1097">G1097</f>
        <v>0</v>
      </c>
      <c r="H1096" s="75">
        <f t="shared" si="223"/>
        <v>0</v>
      </c>
      <c r="I1096" s="75">
        <f t="shared" si="223"/>
        <v>0</v>
      </c>
      <c r="J1096" s="96">
        <f t="shared" si="223"/>
        <v>0</v>
      </c>
      <c r="K1096" s="287">
        <f t="shared" si="223"/>
        <v>0</v>
      </c>
      <c r="L1096" s="313"/>
      <c r="M1096" s="75"/>
      <c r="N1096" s="96"/>
      <c r="O1096" s="96"/>
      <c r="P1096" s="287"/>
      <c r="Q1096" s="474"/>
      <c r="R1096" s="449"/>
      <c r="S1096" s="465" t="e">
        <f t="shared" si="213"/>
        <v>#DIV/0!</v>
      </c>
    </row>
    <row r="1097" spans="1:19" ht="25.5" hidden="1">
      <c r="A1097" s="349" t="s">
        <v>0</v>
      </c>
      <c r="B1097" s="253" t="s">
        <v>340</v>
      </c>
      <c r="C1097" s="350" t="s">
        <v>472</v>
      </c>
      <c r="D1097" s="350" t="s">
        <v>198</v>
      </c>
      <c r="E1097" s="350" t="s">
        <v>481</v>
      </c>
      <c r="F1097" s="74" t="s">
        <v>1</v>
      </c>
      <c r="G1097" s="96">
        <f t="shared" si="223"/>
        <v>0</v>
      </c>
      <c r="H1097" s="75">
        <f t="shared" si="223"/>
        <v>0</v>
      </c>
      <c r="I1097" s="75">
        <f t="shared" si="223"/>
        <v>0</v>
      </c>
      <c r="J1097" s="96">
        <f t="shared" si="223"/>
        <v>0</v>
      </c>
      <c r="K1097" s="287">
        <f t="shared" si="223"/>
        <v>0</v>
      </c>
      <c r="L1097" s="313"/>
      <c r="M1097" s="75"/>
      <c r="N1097" s="96"/>
      <c r="O1097" s="96"/>
      <c r="P1097" s="287"/>
      <c r="Q1097" s="474"/>
      <c r="R1097" s="449"/>
      <c r="S1097" s="465" t="e">
        <f t="shared" si="213"/>
        <v>#DIV/0!</v>
      </c>
    </row>
    <row r="1098" spans="1:19" ht="12.75" hidden="1">
      <c r="A1098" s="349" t="s">
        <v>386</v>
      </c>
      <c r="B1098" s="253" t="s">
        <v>340</v>
      </c>
      <c r="C1098" s="350" t="s">
        <v>472</v>
      </c>
      <c r="D1098" s="350" t="s">
        <v>198</v>
      </c>
      <c r="E1098" s="350" t="s">
        <v>481</v>
      </c>
      <c r="F1098" s="74" t="s">
        <v>1</v>
      </c>
      <c r="G1098" s="96"/>
      <c r="H1098" s="75"/>
      <c r="I1098" s="75"/>
      <c r="J1098" s="96"/>
      <c r="K1098" s="287"/>
      <c r="L1098" s="313"/>
      <c r="M1098" s="75"/>
      <c r="N1098" s="96"/>
      <c r="O1098" s="96"/>
      <c r="P1098" s="287"/>
      <c r="Q1098" s="474"/>
      <c r="R1098" s="449"/>
      <c r="S1098" s="465" t="e">
        <f t="shared" si="213"/>
        <v>#DIV/0!</v>
      </c>
    </row>
    <row r="1099" spans="1:19" ht="12.75" hidden="1">
      <c r="A1099" s="349" t="s">
        <v>2</v>
      </c>
      <c r="B1099" s="253" t="s">
        <v>340</v>
      </c>
      <c r="C1099" s="350" t="s">
        <v>472</v>
      </c>
      <c r="D1099" s="350" t="s">
        <v>219</v>
      </c>
      <c r="E1099" s="350" t="s">
        <v>481</v>
      </c>
      <c r="F1099" s="74" t="s">
        <v>201</v>
      </c>
      <c r="G1099" s="96">
        <f aca="true" t="shared" si="224" ref="G1099:K1101">G1100</f>
        <v>0</v>
      </c>
      <c r="H1099" s="75">
        <f t="shared" si="224"/>
        <v>0</v>
      </c>
      <c r="I1099" s="75">
        <f t="shared" si="224"/>
        <v>0</v>
      </c>
      <c r="J1099" s="96">
        <f t="shared" si="224"/>
        <v>0</v>
      </c>
      <c r="K1099" s="287">
        <f t="shared" si="224"/>
        <v>0</v>
      </c>
      <c r="L1099" s="313"/>
      <c r="M1099" s="75"/>
      <c r="N1099" s="96"/>
      <c r="O1099" s="96"/>
      <c r="P1099" s="287"/>
      <c r="Q1099" s="474"/>
      <c r="R1099" s="449"/>
      <c r="S1099" s="465" t="e">
        <f t="shared" si="213"/>
        <v>#DIV/0!</v>
      </c>
    </row>
    <row r="1100" spans="1:19" ht="25.5" hidden="1">
      <c r="A1100" s="349" t="s">
        <v>3</v>
      </c>
      <c r="B1100" s="253" t="s">
        <v>340</v>
      </c>
      <c r="C1100" s="350" t="s">
        <v>472</v>
      </c>
      <c r="D1100" s="350" t="s">
        <v>219</v>
      </c>
      <c r="E1100" s="350" t="s">
        <v>481</v>
      </c>
      <c r="F1100" s="74" t="s">
        <v>201</v>
      </c>
      <c r="G1100" s="96">
        <f t="shared" si="224"/>
        <v>0</v>
      </c>
      <c r="H1100" s="75">
        <f t="shared" si="224"/>
        <v>0</v>
      </c>
      <c r="I1100" s="75">
        <f t="shared" si="224"/>
        <v>0</v>
      </c>
      <c r="J1100" s="96">
        <f t="shared" si="224"/>
        <v>0</v>
      </c>
      <c r="K1100" s="287">
        <f t="shared" si="224"/>
        <v>0</v>
      </c>
      <c r="L1100" s="313"/>
      <c r="M1100" s="75"/>
      <c r="N1100" s="96"/>
      <c r="O1100" s="96"/>
      <c r="P1100" s="287"/>
      <c r="Q1100" s="474"/>
      <c r="R1100" s="449"/>
      <c r="S1100" s="465" t="e">
        <f t="shared" si="213"/>
        <v>#DIV/0!</v>
      </c>
    </row>
    <row r="1101" spans="1:19" ht="25.5" hidden="1">
      <c r="A1101" s="349" t="s">
        <v>0</v>
      </c>
      <c r="B1101" s="253" t="s">
        <v>340</v>
      </c>
      <c r="C1101" s="350" t="s">
        <v>472</v>
      </c>
      <c r="D1101" s="350" t="s">
        <v>219</v>
      </c>
      <c r="E1101" s="350" t="s">
        <v>481</v>
      </c>
      <c r="F1101" s="74" t="s">
        <v>1</v>
      </c>
      <c r="G1101" s="96">
        <f t="shared" si="224"/>
        <v>0</v>
      </c>
      <c r="H1101" s="75">
        <f t="shared" si="224"/>
        <v>0</v>
      </c>
      <c r="I1101" s="75">
        <f t="shared" si="224"/>
        <v>0</v>
      </c>
      <c r="J1101" s="96">
        <f t="shared" si="224"/>
        <v>0</v>
      </c>
      <c r="K1101" s="287">
        <f t="shared" si="224"/>
        <v>0</v>
      </c>
      <c r="L1101" s="313"/>
      <c r="M1101" s="75"/>
      <c r="N1101" s="96"/>
      <c r="O1101" s="96"/>
      <c r="P1101" s="287"/>
      <c r="Q1101" s="474"/>
      <c r="R1101" s="449"/>
      <c r="S1101" s="465" t="e">
        <f aca="true" t="shared" si="225" ref="S1101:S1164">R1101/Q1101*100</f>
        <v>#DIV/0!</v>
      </c>
    </row>
    <row r="1102" spans="1:19" ht="12.75" hidden="1">
      <c r="A1102" s="349" t="s">
        <v>386</v>
      </c>
      <c r="B1102" s="253" t="s">
        <v>340</v>
      </c>
      <c r="C1102" s="350" t="s">
        <v>472</v>
      </c>
      <c r="D1102" s="350" t="s">
        <v>219</v>
      </c>
      <c r="E1102" s="350" t="s">
        <v>481</v>
      </c>
      <c r="F1102" s="74" t="s">
        <v>1</v>
      </c>
      <c r="G1102" s="96"/>
      <c r="H1102" s="75"/>
      <c r="I1102" s="75"/>
      <c r="J1102" s="96"/>
      <c r="K1102" s="287"/>
      <c r="L1102" s="313"/>
      <c r="M1102" s="75"/>
      <c r="N1102" s="96"/>
      <c r="O1102" s="96"/>
      <c r="P1102" s="287"/>
      <c r="Q1102" s="474"/>
      <c r="R1102" s="449"/>
      <c r="S1102" s="465" t="e">
        <f t="shared" si="225"/>
        <v>#DIV/0!</v>
      </c>
    </row>
    <row r="1103" spans="1:19" ht="12.75" hidden="1">
      <c r="A1103" s="349" t="s">
        <v>4</v>
      </c>
      <c r="B1103" s="253" t="s">
        <v>340</v>
      </c>
      <c r="C1103" s="350" t="s">
        <v>472</v>
      </c>
      <c r="D1103" s="350" t="s">
        <v>240</v>
      </c>
      <c r="E1103" s="350" t="s">
        <v>481</v>
      </c>
      <c r="F1103" s="74" t="s">
        <v>201</v>
      </c>
      <c r="G1103" s="96">
        <f aca="true" t="shared" si="226" ref="G1103:K1105">G1104</f>
        <v>0</v>
      </c>
      <c r="H1103" s="75">
        <f t="shared" si="226"/>
        <v>0</v>
      </c>
      <c r="I1103" s="75">
        <f t="shared" si="226"/>
        <v>0</v>
      </c>
      <c r="J1103" s="96">
        <f t="shared" si="226"/>
        <v>0</v>
      </c>
      <c r="K1103" s="287">
        <f t="shared" si="226"/>
        <v>0</v>
      </c>
      <c r="L1103" s="313"/>
      <c r="M1103" s="75"/>
      <c r="N1103" s="96"/>
      <c r="O1103" s="96"/>
      <c r="P1103" s="287"/>
      <c r="Q1103" s="474"/>
      <c r="R1103" s="449"/>
      <c r="S1103" s="465" t="e">
        <f t="shared" si="225"/>
        <v>#DIV/0!</v>
      </c>
    </row>
    <row r="1104" spans="1:19" ht="12.75" hidden="1">
      <c r="A1104" s="349" t="s">
        <v>5</v>
      </c>
      <c r="B1104" s="253" t="s">
        <v>340</v>
      </c>
      <c r="C1104" s="350" t="s">
        <v>472</v>
      </c>
      <c r="D1104" s="350" t="s">
        <v>240</v>
      </c>
      <c r="E1104" s="350" t="s">
        <v>481</v>
      </c>
      <c r="F1104" s="74" t="s">
        <v>201</v>
      </c>
      <c r="G1104" s="96">
        <f t="shared" si="226"/>
        <v>0</v>
      </c>
      <c r="H1104" s="75">
        <f t="shared" si="226"/>
        <v>0</v>
      </c>
      <c r="I1104" s="75">
        <f t="shared" si="226"/>
        <v>0</v>
      </c>
      <c r="J1104" s="96">
        <f t="shared" si="226"/>
        <v>0</v>
      </c>
      <c r="K1104" s="287">
        <f t="shared" si="226"/>
        <v>0</v>
      </c>
      <c r="L1104" s="313"/>
      <c r="M1104" s="75"/>
      <c r="N1104" s="96"/>
      <c r="O1104" s="96"/>
      <c r="P1104" s="287"/>
      <c r="Q1104" s="474"/>
      <c r="R1104" s="449"/>
      <c r="S1104" s="465" t="e">
        <f t="shared" si="225"/>
        <v>#DIV/0!</v>
      </c>
    </row>
    <row r="1105" spans="1:19" ht="25.5" hidden="1">
      <c r="A1105" s="349" t="s">
        <v>0</v>
      </c>
      <c r="B1105" s="253" t="s">
        <v>340</v>
      </c>
      <c r="C1105" s="350" t="s">
        <v>472</v>
      </c>
      <c r="D1105" s="350" t="s">
        <v>240</v>
      </c>
      <c r="E1105" s="350" t="s">
        <v>481</v>
      </c>
      <c r="F1105" s="74" t="s">
        <v>1</v>
      </c>
      <c r="G1105" s="96">
        <f t="shared" si="226"/>
        <v>0</v>
      </c>
      <c r="H1105" s="75">
        <f t="shared" si="226"/>
        <v>0</v>
      </c>
      <c r="I1105" s="75">
        <f t="shared" si="226"/>
        <v>0</v>
      </c>
      <c r="J1105" s="96">
        <f t="shared" si="226"/>
        <v>0</v>
      </c>
      <c r="K1105" s="287">
        <f t="shared" si="226"/>
        <v>0</v>
      </c>
      <c r="L1105" s="313"/>
      <c r="M1105" s="75"/>
      <c r="N1105" s="96"/>
      <c r="O1105" s="96"/>
      <c r="P1105" s="287"/>
      <c r="Q1105" s="474"/>
      <c r="R1105" s="449"/>
      <c r="S1105" s="465" t="e">
        <f t="shared" si="225"/>
        <v>#DIV/0!</v>
      </c>
    </row>
    <row r="1106" spans="1:19" ht="25.5" hidden="1">
      <c r="A1106" s="349" t="s">
        <v>6</v>
      </c>
      <c r="B1106" s="253" t="s">
        <v>340</v>
      </c>
      <c r="C1106" s="350" t="s">
        <v>472</v>
      </c>
      <c r="D1106" s="350" t="s">
        <v>240</v>
      </c>
      <c r="E1106" s="350" t="s">
        <v>481</v>
      </c>
      <c r="F1106" s="74" t="s">
        <v>1</v>
      </c>
      <c r="G1106" s="96"/>
      <c r="H1106" s="75"/>
      <c r="I1106" s="75"/>
      <c r="J1106" s="96"/>
      <c r="K1106" s="287"/>
      <c r="L1106" s="313"/>
      <c r="M1106" s="75"/>
      <c r="N1106" s="96"/>
      <c r="O1106" s="96"/>
      <c r="P1106" s="287"/>
      <c r="Q1106" s="474"/>
      <c r="R1106" s="449"/>
      <c r="S1106" s="465" t="e">
        <f t="shared" si="225"/>
        <v>#DIV/0!</v>
      </c>
    </row>
    <row r="1107" spans="1:19" ht="63.75" hidden="1">
      <c r="A1107" s="351" t="s">
        <v>374</v>
      </c>
      <c r="B1107" s="253" t="s">
        <v>340</v>
      </c>
      <c r="C1107" s="350" t="s">
        <v>472</v>
      </c>
      <c r="D1107" s="350" t="s">
        <v>198</v>
      </c>
      <c r="E1107" s="350" t="s">
        <v>481</v>
      </c>
      <c r="F1107" s="74" t="s">
        <v>201</v>
      </c>
      <c r="G1107" s="96">
        <f aca="true" t="shared" si="227" ref="G1107:K1108">G1108</f>
        <v>0</v>
      </c>
      <c r="H1107" s="75">
        <f t="shared" si="227"/>
        <v>0</v>
      </c>
      <c r="I1107" s="75">
        <f t="shared" si="227"/>
        <v>0</v>
      </c>
      <c r="J1107" s="96">
        <f t="shared" si="227"/>
        <v>0</v>
      </c>
      <c r="K1107" s="287">
        <f t="shared" si="227"/>
        <v>0</v>
      </c>
      <c r="L1107" s="313"/>
      <c r="M1107" s="75"/>
      <c r="N1107" s="96"/>
      <c r="O1107" s="96"/>
      <c r="P1107" s="287"/>
      <c r="Q1107" s="474"/>
      <c r="R1107" s="449"/>
      <c r="S1107" s="465" t="e">
        <f t="shared" si="225"/>
        <v>#DIV/0!</v>
      </c>
    </row>
    <row r="1108" spans="1:19" ht="15.75" customHeight="1" hidden="1">
      <c r="A1108" s="351" t="s">
        <v>7</v>
      </c>
      <c r="B1108" s="253" t="s">
        <v>340</v>
      </c>
      <c r="C1108" s="254" t="s">
        <v>472</v>
      </c>
      <c r="D1108" s="254" t="s">
        <v>198</v>
      </c>
      <c r="E1108" s="350" t="s">
        <v>481</v>
      </c>
      <c r="F1108" s="78" t="s">
        <v>201</v>
      </c>
      <c r="G1108" s="96">
        <f t="shared" si="227"/>
        <v>0</v>
      </c>
      <c r="H1108" s="75">
        <f t="shared" si="227"/>
        <v>0</v>
      </c>
      <c r="I1108" s="75">
        <f t="shared" si="227"/>
        <v>0</v>
      </c>
      <c r="J1108" s="96">
        <f t="shared" si="227"/>
        <v>0</v>
      </c>
      <c r="K1108" s="287">
        <f t="shared" si="227"/>
        <v>0</v>
      </c>
      <c r="L1108" s="313"/>
      <c r="M1108" s="75"/>
      <c r="N1108" s="96"/>
      <c r="O1108" s="96"/>
      <c r="P1108" s="287"/>
      <c r="Q1108" s="474"/>
      <c r="R1108" s="449"/>
      <c r="S1108" s="465" t="e">
        <f t="shared" si="225"/>
        <v>#DIV/0!</v>
      </c>
    </row>
    <row r="1109" spans="1:19" ht="12.75" hidden="1">
      <c r="A1109" s="351" t="s">
        <v>398</v>
      </c>
      <c r="B1109" s="253" t="s">
        <v>340</v>
      </c>
      <c r="C1109" s="254" t="s">
        <v>472</v>
      </c>
      <c r="D1109" s="254" t="s">
        <v>198</v>
      </c>
      <c r="E1109" s="350" t="s">
        <v>481</v>
      </c>
      <c r="F1109" s="78" t="s">
        <v>399</v>
      </c>
      <c r="G1109" s="96">
        <f>G1110+G1117</f>
        <v>0</v>
      </c>
      <c r="H1109" s="75">
        <f>H1110+H1117</f>
        <v>0</v>
      </c>
      <c r="I1109" s="75">
        <f>I1110+I1117</f>
        <v>0</v>
      </c>
      <c r="J1109" s="96">
        <f>J1110+J1117</f>
        <v>0</v>
      </c>
      <c r="K1109" s="287">
        <f>K1110+K1117</f>
        <v>0</v>
      </c>
      <c r="L1109" s="313"/>
      <c r="M1109" s="75"/>
      <c r="N1109" s="96"/>
      <c r="O1109" s="96"/>
      <c r="P1109" s="287"/>
      <c r="Q1109" s="474"/>
      <c r="R1109" s="449"/>
      <c r="S1109" s="465" t="e">
        <f t="shared" si="225"/>
        <v>#DIV/0!</v>
      </c>
    </row>
    <row r="1110" spans="1:19" ht="12.75" hidden="1">
      <c r="A1110" s="349" t="s">
        <v>210</v>
      </c>
      <c r="B1110" s="253" t="s">
        <v>340</v>
      </c>
      <c r="C1110" s="254" t="s">
        <v>472</v>
      </c>
      <c r="D1110" s="254" t="s">
        <v>198</v>
      </c>
      <c r="E1110" s="350" t="s">
        <v>481</v>
      </c>
      <c r="F1110" s="78" t="s">
        <v>399</v>
      </c>
      <c r="G1110" s="96">
        <f>G1111</f>
        <v>0</v>
      </c>
      <c r="H1110" s="75">
        <f>H1111</f>
        <v>0</v>
      </c>
      <c r="I1110" s="75">
        <f>I1111</f>
        <v>0</v>
      </c>
      <c r="J1110" s="96">
        <f>J1111</f>
        <v>0</v>
      </c>
      <c r="K1110" s="287">
        <f>K1111</f>
        <v>0</v>
      </c>
      <c r="L1110" s="313"/>
      <c r="M1110" s="75"/>
      <c r="N1110" s="96"/>
      <c r="O1110" s="96"/>
      <c r="P1110" s="287"/>
      <c r="Q1110" s="474"/>
      <c r="R1110" s="449"/>
      <c r="S1110" s="465" t="e">
        <f t="shared" si="225"/>
        <v>#DIV/0!</v>
      </c>
    </row>
    <row r="1111" spans="1:19" ht="12.75" hidden="1">
      <c r="A1111" s="349" t="s">
        <v>222</v>
      </c>
      <c r="B1111" s="253" t="s">
        <v>340</v>
      </c>
      <c r="C1111" s="254" t="s">
        <v>472</v>
      </c>
      <c r="D1111" s="254" t="s">
        <v>198</v>
      </c>
      <c r="E1111" s="350" t="s">
        <v>481</v>
      </c>
      <c r="F1111" s="78" t="s">
        <v>399</v>
      </c>
      <c r="G1111" s="96">
        <f>G1113</f>
        <v>0</v>
      </c>
      <c r="H1111" s="75">
        <f>H1113</f>
        <v>0</v>
      </c>
      <c r="I1111" s="75">
        <f>I1113</f>
        <v>0</v>
      </c>
      <c r="J1111" s="96">
        <f>J1113</f>
        <v>0</v>
      </c>
      <c r="K1111" s="287">
        <f>K1113</f>
        <v>0</v>
      </c>
      <c r="L1111" s="313"/>
      <c r="M1111" s="75"/>
      <c r="N1111" s="96"/>
      <c r="O1111" s="96"/>
      <c r="P1111" s="287"/>
      <c r="Q1111" s="474"/>
      <c r="R1111" s="449"/>
      <c r="S1111" s="465" t="e">
        <f t="shared" si="225"/>
        <v>#DIV/0!</v>
      </c>
    </row>
    <row r="1112" spans="1:19" ht="12.75" hidden="1">
      <c r="A1112" s="349" t="s">
        <v>224</v>
      </c>
      <c r="B1112" s="253" t="s">
        <v>340</v>
      </c>
      <c r="C1112" s="254" t="s">
        <v>472</v>
      </c>
      <c r="D1112" s="254" t="s">
        <v>198</v>
      </c>
      <c r="E1112" s="350" t="s">
        <v>481</v>
      </c>
      <c r="F1112" s="78" t="s">
        <v>399</v>
      </c>
      <c r="G1112" s="96"/>
      <c r="H1112" s="75"/>
      <c r="I1112" s="75"/>
      <c r="J1112" s="96"/>
      <c r="K1112" s="287"/>
      <c r="L1112" s="313"/>
      <c r="M1112" s="75"/>
      <c r="N1112" s="96"/>
      <c r="O1112" s="96"/>
      <c r="P1112" s="287"/>
      <c r="Q1112" s="474"/>
      <c r="R1112" s="449"/>
      <c r="S1112" s="465" t="e">
        <f t="shared" si="225"/>
        <v>#DIV/0!</v>
      </c>
    </row>
    <row r="1113" spans="1:19" ht="12.75" hidden="1">
      <c r="A1113" s="352" t="s">
        <v>315</v>
      </c>
      <c r="B1113" s="253" t="s">
        <v>340</v>
      </c>
      <c r="C1113" s="254" t="s">
        <v>472</v>
      </c>
      <c r="D1113" s="254" t="s">
        <v>198</v>
      </c>
      <c r="E1113" s="350" t="s">
        <v>481</v>
      </c>
      <c r="F1113" s="78" t="s">
        <v>399</v>
      </c>
      <c r="G1113" s="96"/>
      <c r="H1113" s="75"/>
      <c r="I1113" s="75"/>
      <c r="J1113" s="96"/>
      <c r="K1113" s="287"/>
      <c r="L1113" s="313"/>
      <c r="M1113" s="75"/>
      <c r="N1113" s="96"/>
      <c r="O1113" s="96"/>
      <c r="P1113" s="287"/>
      <c r="Q1113" s="474"/>
      <c r="R1113" s="449"/>
      <c r="S1113" s="465" t="e">
        <f t="shared" si="225"/>
        <v>#DIV/0!</v>
      </c>
    </row>
    <row r="1114" spans="1:19" ht="12.75" customHeight="1" hidden="1">
      <c r="A1114" s="349"/>
      <c r="B1114" s="253"/>
      <c r="C1114" s="350"/>
      <c r="D1114" s="350"/>
      <c r="E1114" s="350" t="s">
        <v>481</v>
      </c>
      <c r="F1114" s="74"/>
      <c r="G1114" s="96"/>
      <c r="H1114" s="75"/>
      <c r="I1114" s="75"/>
      <c r="J1114" s="96"/>
      <c r="K1114" s="287"/>
      <c r="L1114" s="313"/>
      <c r="M1114" s="75"/>
      <c r="N1114" s="96"/>
      <c r="O1114" s="96"/>
      <c r="P1114" s="287"/>
      <c r="Q1114" s="474"/>
      <c r="R1114" s="449"/>
      <c r="S1114" s="465" t="e">
        <f t="shared" si="225"/>
        <v>#DIV/0!</v>
      </c>
    </row>
    <row r="1115" spans="1:19" ht="0.75" customHeight="1" hidden="1">
      <c r="A1115" s="349"/>
      <c r="B1115" s="253"/>
      <c r="C1115" s="350"/>
      <c r="D1115" s="350"/>
      <c r="E1115" s="350" t="s">
        <v>481</v>
      </c>
      <c r="F1115" s="74"/>
      <c r="G1115" s="96"/>
      <c r="H1115" s="75"/>
      <c r="I1115" s="75"/>
      <c r="J1115" s="96"/>
      <c r="K1115" s="287"/>
      <c r="L1115" s="313"/>
      <c r="M1115" s="75"/>
      <c r="N1115" s="96"/>
      <c r="O1115" s="96"/>
      <c r="P1115" s="287"/>
      <c r="Q1115" s="474"/>
      <c r="R1115" s="449"/>
      <c r="S1115" s="465" t="e">
        <f t="shared" si="225"/>
        <v>#DIV/0!</v>
      </c>
    </row>
    <row r="1116" spans="1:19" ht="12.75" hidden="1">
      <c r="A1116" s="349"/>
      <c r="B1116" s="253"/>
      <c r="C1116" s="350"/>
      <c r="D1116" s="350"/>
      <c r="E1116" s="350" t="s">
        <v>481</v>
      </c>
      <c r="F1116" s="74"/>
      <c r="G1116" s="96"/>
      <c r="H1116" s="75"/>
      <c r="I1116" s="75"/>
      <c r="J1116" s="96"/>
      <c r="K1116" s="287"/>
      <c r="L1116" s="313"/>
      <c r="M1116" s="75"/>
      <c r="N1116" s="96"/>
      <c r="O1116" s="96"/>
      <c r="P1116" s="287"/>
      <c r="Q1116" s="474"/>
      <c r="R1116" s="449"/>
      <c r="S1116" s="465" t="e">
        <f t="shared" si="225"/>
        <v>#DIV/0!</v>
      </c>
    </row>
    <row r="1117" spans="1:19" ht="12.75" hidden="1">
      <c r="A1117" s="349" t="s">
        <v>228</v>
      </c>
      <c r="B1117" s="253" t="s">
        <v>340</v>
      </c>
      <c r="C1117" s="254" t="s">
        <v>472</v>
      </c>
      <c r="D1117" s="254" t="s">
        <v>198</v>
      </c>
      <c r="E1117" s="350" t="s">
        <v>481</v>
      </c>
      <c r="F1117" s="78" t="s">
        <v>399</v>
      </c>
      <c r="G1117" s="96">
        <f>SUM(G1118:G1119)</f>
        <v>0</v>
      </c>
      <c r="H1117" s="75">
        <f>SUM(H1118:H1119)</f>
        <v>0</v>
      </c>
      <c r="I1117" s="75">
        <f>SUM(I1118:I1119)</f>
        <v>0</v>
      </c>
      <c r="J1117" s="96">
        <f>SUM(J1118:J1119)</f>
        <v>0</v>
      </c>
      <c r="K1117" s="287">
        <f>SUM(K1118:K1119)</f>
        <v>0</v>
      </c>
      <c r="L1117" s="313"/>
      <c r="M1117" s="75"/>
      <c r="N1117" s="96"/>
      <c r="O1117" s="96"/>
      <c r="P1117" s="287"/>
      <c r="Q1117" s="474"/>
      <c r="R1117" s="449"/>
      <c r="S1117" s="465" t="e">
        <f t="shared" si="225"/>
        <v>#DIV/0!</v>
      </c>
    </row>
    <row r="1118" spans="1:19" ht="12.75" hidden="1">
      <c r="A1118" s="349" t="s">
        <v>229</v>
      </c>
      <c r="B1118" s="253" t="s">
        <v>340</v>
      </c>
      <c r="C1118" s="254" t="s">
        <v>472</v>
      </c>
      <c r="D1118" s="254" t="s">
        <v>198</v>
      </c>
      <c r="E1118" s="350" t="s">
        <v>481</v>
      </c>
      <c r="F1118" s="78" t="s">
        <v>399</v>
      </c>
      <c r="G1118" s="96"/>
      <c r="H1118" s="75"/>
      <c r="I1118" s="75"/>
      <c r="J1118" s="96"/>
      <c r="K1118" s="287"/>
      <c r="L1118" s="313"/>
      <c r="M1118" s="75"/>
      <c r="N1118" s="96"/>
      <c r="O1118" s="96"/>
      <c r="P1118" s="287"/>
      <c r="Q1118" s="474"/>
      <c r="R1118" s="449"/>
      <c r="S1118" s="465" t="e">
        <f t="shared" si="225"/>
        <v>#DIV/0!</v>
      </c>
    </row>
    <row r="1119" spans="1:19" ht="12.75" hidden="1">
      <c r="A1119" s="349" t="s">
        <v>230</v>
      </c>
      <c r="B1119" s="253" t="s">
        <v>340</v>
      </c>
      <c r="C1119" s="254" t="s">
        <v>472</v>
      </c>
      <c r="D1119" s="254" t="s">
        <v>198</v>
      </c>
      <c r="E1119" s="350" t="s">
        <v>481</v>
      </c>
      <c r="F1119" s="78" t="s">
        <v>399</v>
      </c>
      <c r="G1119" s="96"/>
      <c r="H1119" s="75"/>
      <c r="I1119" s="75"/>
      <c r="J1119" s="96"/>
      <c r="K1119" s="287"/>
      <c r="L1119" s="313"/>
      <c r="M1119" s="75"/>
      <c r="N1119" s="96"/>
      <c r="O1119" s="96"/>
      <c r="P1119" s="287"/>
      <c r="Q1119" s="474"/>
      <c r="R1119" s="449"/>
      <c r="S1119" s="465" t="e">
        <f t="shared" si="225"/>
        <v>#DIV/0!</v>
      </c>
    </row>
    <row r="1120" spans="1:19" ht="25.5" hidden="1">
      <c r="A1120" s="349" t="s">
        <v>8</v>
      </c>
      <c r="B1120" s="253" t="s">
        <v>340</v>
      </c>
      <c r="C1120" s="350" t="s">
        <v>472</v>
      </c>
      <c r="D1120" s="350" t="s">
        <v>198</v>
      </c>
      <c r="E1120" s="350" t="s">
        <v>481</v>
      </c>
      <c r="F1120" s="74" t="s">
        <v>201</v>
      </c>
      <c r="G1120" s="96">
        <f>G1121</f>
        <v>0</v>
      </c>
      <c r="H1120" s="75">
        <f>H1121</f>
        <v>0</v>
      </c>
      <c r="I1120" s="75">
        <f>I1121</f>
        <v>0</v>
      </c>
      <c r="J1120" s="96">
        <f>J1121</f>
        <v>0</v>
      </c>
      <c r="K1120" s="287">
        <f>K1121</f>
        <v>0</v>
      </c>
      <c r="L1120" s="313"/>
      <c r="M1120" s="75"/>
      <c r="N1120" s="96"/>
      <c r="O1120" s="96"/>
      <c r="P1120" s="287"/>
      <c r="Q1120" s="474"/>
      <c r="R1120" s="449"/>
      <c r="S1120" s="465" t="e">
        <f t="shared" si="225"/>
        <v>#DIV/0!</v>
      </c>
    </row>
    <row r="1121" spans="1:19" ht="11.25" customHeight="1" hidden="1">
      <c r="A1121" s="349" t="s">
        <v>208</v>
      </c>
      <c r="B1121" s="253" t="s">
        <v>340</v>
      </c>
      <c r="C1121" s="254" t="s">
        <v>472</v>
      </c>
      <c r="D1121" s="254" t="s">
        <v>198</v>
      </c>
      <c r="E1121" s="350" t="s">
        <v>481</v>
      </c>
      <c r="F1121" s="78" t="s">
        <v>209</v>
      </c>
      <c r="G1121" s="96">
        <f>G1122+G1125</f>
        <v>0</v>
      </c>
      <c r="H1121" s="75">
        <f>H1122+H1125</f>
        <v>0</v>
      </c>
      <c r="I1121" s="75">
        <f>I1122+I1125</f>
        <v>0</v>
      </c>
      <c r="J1121" s="96">
        <f>J1122+J1125</f>
        <v>0</v>
      </c>
      <c r="K1121" s="287">
        <f>K1122+K1125</f>
        <v>0</v>
      </c>
      <c r="L1121" s="313"/>
      <c r="M1121" s="75"/>
      <c r="N1121" s="96"/>
      <c r="O1121" s="96"/>
      <c r="P1121" s="287"/>
      <c r="Q1121" s="474"/>
      <c r="R1121" s="449"/>
      <c r="S1121" s="465" t="e">
        <f t="shared" si="225"/>
        <v>#DIV/0!</v>
      </c>
    </row>
    <row r="1122" spans="1:19" ht="12.75" customHeight="1" hidden="1">
      <c r="A1122" s="349" t="s">
        <v>210</v>
      </c>
      <c r="B1122" s="253" t="s">
        <v>340</v>
      </c>
      <c r="C1122" s="254" t="s">
        <v>472</v>
      </c>
      <c r="D1122" s="254" t="s">
        <v>198</v>
      </c>
      <c r="E1122" s="350" t="s">
        <v>481</v>
      </c>
      <c r="F1122" s="78" t="s">
        <v>209</v>
      </c>
      <c r="G1122" s="96">
        <f aca="true" t="shared" si="228" ref="G1122:K1123">G1123</f>
        <v>0</v>
      </c>
      <c r="H1122" s="75">
        <f t="shared" si="228"/>
        <v>0</v>
      </c>
      <c r="I1122" s="75">
        <f t="shared" si="228"/>
        <v>0</v>
      </c>
      <c r="J1122" s="96">
        <f t="shared" si="228"/>
        <v>0</v>
      </c>
      <c r="K1122" s="287">
        <f t="shared" si="228"/>
        <v>0</v>
      </c>
      <c r="L1122" s="313"/>
      <c r="M1122" s="75"/>
      <c r="N1122" s="96"/>
      <c r="O1122" s="96"/>
      <c r="P1122" s="287"/>
      <c r="Q1122" s="474"/>
      <c r="R1122" s="449"/>
      <c r="S1122" s="465" t="e">
        <f t="shared" si="225"/>
        <v>#DIV/0!</v>
      </c>
    </row>
    <row r="1123" spans="1:19" ht="12.75" hidden="1">
      <c r="A1123" s="349" t="s">
        <v>222</v>
      </c>
      <c r="B1123" s="253" t="s">
        <v>340</v>
      </c>
      <c r="C1123" s="254" t="s">
        <v>472</v>
      </c>
      <c r="D1123" s="254" t="s">
        <v>198</v>
      </c>
      <c r="E1123" s="350" t="s">
        <v>481</v>
      </c>
      <c r="F1123" s="78" t="s">
        <v>209</v>
      </c>
      <c r="G1123" s="96">
        <f t="shared" si="228"/>
        <v>0</v>
      </c>
      <c r="H1123" s="75">
        <f t="shared" si="228"/>
        <v>0</v>
      </c>
      <c r="I1123" s="75">
        <f t="shared" si="228"/>
        <v>0</v>
      </c>
      <c r="J1123" s="96">
        <f t="shared" si="228"/>
        <v>0</v>
      </c>
      <c r="K1123" s="287">
        <f t="shared" si="228"/>
        <v>0</v>
      </c>
      <c r="L1123" s="313"/>
      <c r="M1123" s="75"/>
      <c r="N1123" s="96"/>
      <c r="O1123" s="96"/>
      <c r="P1123" s="287"/>
      <c r="Q1123" s="474"/>
      <c r="R1123" s="449"/>
      <c r="S1123" s="465" t="e">
        <f t="shared" si="225"/>
        <v>#DIV/0!</v>
      </c>
    </row>
    <row r="1124" spans="1:19" ht="12.75" hidden="1">
      <c r="A1124" s="349" t="s">
        <v>339</v>
      </c>
      <c r="B1124" s="253" t="s">
        <v>340</v>
      </c>
      <c r="C1124" s="254" t="s">
        <v>472</v>
      </c>
      <c r="D1124" s="254" t="s">
        <v>198</v>
      </c>
      <c r="E1124" s="350" t="s">
        <v>481</v>
      </c>
      <c r="F1124" s="78" t="s">
        <v>209</v>
      </c>
      <c r="G1124" s="96"/>
      <c r="H1124" s="75"/>
      <c r="I1124" s="75"/>
      <c r="J1124" s="96"/>
      <c r="K1124" s="287"/>
      <c r="L1124" s="313"/>
      <c r="M1124" s="75"/>
      <c r="N1124" s="96"/>
      <c r="O1124" s="96"/>
      <c r="P1124" s="287"/>
      <c r="Q1124" s="474"/>
      <c r="R1124" s="449"/>
      <c r="S1124" s="465" t="e">
        <f t="shared" si="225"/>
        <v>#DIV/0!</v>
      </c>
    </row>
    <row r="1125" spans="1:19" ht="12.75" hidden="1">
      <c r="A1125" s="349" t="s">
        <v>228</v>
      </c>
      <c r="B1125" s="253" t="s">
        <v>340</v>
      </c>
      <c r="C1125" s="254" t="s">
        <v>472</v>
      </c>
      <c r="D1125" s="254" t="s">
        <v>198</v>
      </c>
      <c r="E1125" s="350" t="s">
        <v>481</v>
      </c>
      <c r="F1125" s="78" t="s">
        <v>209</v>
      </c>
      <c r="G1125" s="96">
        <f>G1126</f>
        <v>0</v>
      </c>
      <c r="H1125" s="75">
        <f>H1126</f>
        <v>0</v>
      </c>
      <c r="I1125" s="75">
        <f>I1126</f>
        <v>0</v>
      </c>
      <c r="J1125" s="96">
        <f>J1126</f>
        <v>0</v>
      </c>
      <c r="K1125" s="287">
        <f>K1126</f>
        <v>0</v>
      </c>
      <c r="L1125" s="313"/>
      <c r="M1125" s="75"/>
      <c r="N1125" s="96"/>
      <c r="O1125" s="96"/>
      <c r="P1125" s="287"/>
      <c r="Q1125" s="474"/>
      <c r="R1125" s="449"/>
      <c r="S1125" s="465" t="e">
        <f t="shared" si="225"/>
        <v>#DIV/0!</v>
      </c>
    </row>
    <row r="1126" spans="1:19" ht="12.75" hidden="1">
      <c r="A1126" s="351" t="s">
        <v>229</v>
      </c>
      <c r="B1126" s="253" t="s">
        <v>340</v>
      </c>
      <c r="C1126" s="254" t="s">
        <v>472</v>
      </c>
      <c r="D1126" s="254" t="s">
        <v>198</v>
      </c>
      <c r="E1126" s="350" t="s">
        <v>481</v>
      </c>
      <c r="F1126" s="78" t="s">
        <v>209</v>
      </c>
      <c r="G1126" s="96"/>
      <c r="H1126" s="75"/>
      <c r="I1126" s="75"/>
      <c r="J1126" s="96"/>
      <c r="K1126" s="287"/>
      <c r="L1126" s="313"/>
      <c r="M1126" s="75"/>
      <c r="N1126" s="96"/>
      <c r="O1126" s="96"/>
      <c r="P1126" s="287"/>
      <c r="Q1126" s="474"/>
      <c r="R1126" s="449"/>
      <c r="S1126" s="465" t="e">
        <f t="shared" si="225"/>
        <v>#DIV/0!</v>
      </c>
    </row>
    <row r="1127" spans="1:19" ht="12.75" hidden="1">
      <c r="A1127" s="351"/>
      <c r="B1127" s="253"/>
      <c r="C1127" s="254"/>
      <c r="D1127" s="254"/>
      <c r="E1127" s="350"/>
      <c r="F1127" s="78" t="s">
        <v>238</v>
      </c>
      <c r="G1127" s="89">
        <v>65.6</v>
      </c>
      <c r="H1127" s="82">
        <v>65.6</v>
      </c>
      <c r="I1127" s="82">
        <v>65.6</v>
      </c>
      <c r="J1127" s="89">
        <v>65.6</v>
      </c>
      <c r="K1127" s="275">
        <v>65.6</v>
      </c>
      <c r="L1127" s="315"/>
      <c r="M1127" s="82"/>
      <c r="N1127" s="89"/>
      <c r="O1127" s="89"/>
      <c r="P1127" s="275"/>
      <c r="Q1127" s="487"/>
      <c r="R1127" s="448"/>
      <c r="S1127" s="465" t="e">
        <f t="shared" si="225"/>
        <v>#DIV/0!</v>
      </c>
    </row>
    <row r="1128" spans="1:19" ht="14.25" customHeight="1" hidden="1">
      <c r="A1128" s="352" t="s">
        <v>148</v>
      </c>
      <c r="B1128" s="253">
        <v>905</v>
      </c>
      <c r="C1128" s="350" t="s">
        <v>472</v>
      </c>
      <c r="D1128" s="350" t="s">
        <v>198</v>
      </c>
      <c r="E1128" s="350" t="s">
        <v>9</v>
      </c>
      <c r="F1128" s="74"/>
      <c r="G1128" s="96">
        <f>G1130</f>
        <v>35.1</v>
      </c>
      <c r="H1128" s="75">
        <f>H1130</f>
        <v>35.1</v>
      </c>
      <c r="I1128" s="75">
        <f>I1130</f>
        <v>35.1</v>
      </c>
      <c r="J1128" s="96">
        <f>J1130</f>
        <v>0</v>
      </c>
      <c r="K1128" s="287">
        <f>K1130</f>
        <v>35.1</v>
      </c>
      <c r="L1128" s="313"/>
      <c r="M1128" s="75"/>
      <c r="N1128" s="96"/>
      <c r="O1128" s="96"/>
      <c r="P1128" s="287"/>
      <c r="Q1128" s="474"/>
      <c r="R1128" s="449"/>
      <c r="S1128" s="465" t="e">
        <f t="shared" si="225"/>
        <v>#DIV/0!</v>
      </c>
    </row>
    <row r="1129" spans="1:19" ht="38.25">
      <c r="A1129" s="347" t="s">
        <v>548</v>
      </c>
      <c r="B1129" s="253">
        <v>905</v>
      </c>
      <c r="C1129" s="350" t="s">
        <v>472</v>
      </c>
      <c r="D1129" s="350" t="s">
        <v>198</v>
      </c>
      <c r="E1129" s="350" t="s">
        <v>9</v>
      </c>
      <c r="F1129" s="74"/>
      <c r="G1129" s="96"/>
      <c r="H1129" s="75"/>
      <c r="I1129" s="75"/>
      <c r="J1129" s="96"/>
      <c r="K1129" s="287">
        <f aca="true" t="shared" si="229" ref="K1129:R1129">K1130</f>
        <v>35.1</v>
      </c>
      <c r="L1129" s="287">
        <f t="shared" si="229"/>
        <v>0</v>
      </c>
      <c r="M1129" s="287">
        <f t="shared" si="229"/>
        <v>0</v>
      </c>
      <c r="N1129" s="287">
        <f t="shared" si="229"/>
        <v>35.1</v>
      </c>
      <c r="O1129" s="287">
        <f t="shared" si="229"/>
        <v>0</v>
      </c>
      <c r="P1129" s="287">
        <f t="shared" si="229"/>
        <v>0</v>
      </c>
      <c r="Q1129" s="474">
        <f t="shared" si="229"/>
        <v>35.1</v>
      </c>
      <c r="R1129" s="449">
        <f t="shared" si="229"/>
        <v>35.1</v>
      </c>
      <c r="S1129" s="465">
        <f t="shared" si="225"/>
        <v>100</v>
      </c>
    </row>
    <row r="1130" spans="1:19" ht="15.75" customHeight="1">
      <c r="A1130" s="408" t="s">
        <v>482</v>
      </c>
      <c r="B1130" s="353">
        <v>905</v>
      </c>
      <c r="C1130" s="254" t="s">
        <v>472</v>
      </c>
      <c r="D1130" s="254" t="s">
        <v>198</v>
      </c>
      <c r="E1130" s="254" t="s">
        <v>9</v>
      </c>
      <c r="F1130" s="78" t="s">
        <v>121</v>
      </c>
      <c r="G1130" s="89">
        <f>G1131</f>
        <v>35.1</v>
      </c>
      <c r="H1130" s="82">
        <f>H1131</f>
        <v>35.1</v>
      </c>
      <c r="I1130" s="82">
        <f>I1131</f>
        <v>35.1</v>
      </c>
      <c r="J1130" s="89"/>
      <c r="K1130" s="275">
        <v>35.1</v>
      </c>
      <c r="L1130" s="275"/>
      <c r="M1130" s="275"/>
      <c r="N1130" s="275">
        <f>K1130+L1130+M1130</f>
        <v>35.1</v>
      </c>
      <c r="O1130" s="275"/>
      <c r="P1130" s="275"/>
      <c r="Q1130" s="487">
        <f>N1130+O1130+P1130</f>
        <v>35.1</v>
      </c>
      <c r="R1130" s="448">
        <v>35.1</v>
      </c>
      <c r="S1130" s="444">
        <f t="shared" si="225"/>
        <v>100</v>
      </c>
    </row>
    <row r="1131" spans="1:19" ht="18.75" customHeight="1" hidden="1">
      <c r="A1131" s="351"/>
      <c r="B1131" s="253"/>
      <c r="C1131" s="254"/>
      <c r="D1131" s="254"/>
      <c r="E1131" s="254"/>
      <c r="F1131" s="78" t="s">
        <v>238</v>
      </c>
      <c r="G1131" s="89">
        <v>35.1</v>
      </c>
      <c r="H1131" s="82">
        <v>35.1</v>
      </c>
      <c r="I1131" s="82">
        <v>35.1</v>
      </c>
      <c r="J1131" s="89">
        <v>35.1</v>
      </c>
      <c r="K1131" s="275">
        <v>35.1</v>
      </c>
      <c r="L1131" s="315"/>
      <c r="M1131" s="82"/>
      <c r="N1131" s="89"/>
      <c r="O1131" s="89"/>
      <c r="P1131" s="275"/>
      <c r="Q1131" s="487"/>
      <c r="R1131" s="448"/>
      <c r="S1131" s="465" t="e">
        <f t="shared" si="225"/>
        <v>#DIV/0!</v>
      </c>
    </row>
    <row r="1132" spans="1:19" ht="38.25" hidden="1">
      <c r="A1132" s="352" t="s">
        <v>149</v>
      </c>
      <c r="B1132" s="253">
        <v>905</v>
      </c>
      <c r="C1132" s="350" t="s">
        <v>472</v>
      </c>
      <c r="D1132" s="350" t="s">
        <v>198</v>
      </c>
      <c r="E1132" s="350" t="s">
        <v>10</v>
      </c>
      <c r="F1132" s="74"/>
      <c r="G1132" s="96">
        <f>G1134</f>
        <v>50</v>
      </c>
      <c r="H1132" s="75">
        <f>H1134</f>
        <v>50</v>
      </c>
      <c r="I1132" s="75">
        <f>I1134</f>
        <v>50</v>
      </c>
      <c r="J1132" s="96">
        <f>J1134</f>
        <v>0</v>
      </c>
      <c r="K1132" s="287">
        <f>K1134</f>
        <v>50</v>
      </c>
      <c r="L1132" s="313"/>
      <c r="M1132" s="75"/>
      <c r="N1132" s="96"/>
      <c r="O1132" s="96"/>
      <c r="P1132" s="287"/>
      <c r="Q1132" s="474"/>
      <c r="R1132" s="449"/>
      <c r="S1132" s="465" t="e">
        <f t="shared" si="225"/>
        <v>#DIV/0!</v>
      </c>
    </row>
    <row r="1133" spans="1:19" ht="38.25">
      <c r="A1133" s="347" t="s">
        <v>524</v>
      </c>
      <c r="B1133" s="253">
        <v>905</v>
      </c>
      <c r="C1133" s="350" t="s">
        <v>472</v>
      </c>
      <c r="D1133" s="350" t="s">
        <v>198</v>
      </c>
      <c r="E1133" s="350" t="s">
        <v>10</v>
      </c>
      <c r="F1133" s="74"/>
      <c r="G1133" s="96"/>
      <c r="H1133" s="75"/>
      <c r="I1133" s="75"/>
      <c r="J1133" s="96"/>
      <c r="K1133" s="287">
        <f aca="true" t="shared" si="230" ref="K1133:R1133">K1134</f>
        <v>50</v>
      </c>
      <c r="L1133" s="287">
        <f t="shared" si="230"/>
        <v>0</v>
      </c>
      <c r="M1133" s="287">
        <f t="shared" si="230"/>
        <v>0</v>
      </c>
      <c r="N1133" s="287">
        <f t="shared" si="230"/>
        <v>50</v>
      </c>
      <c r="O1133" s="287">
        <f t="shared" si="230"/>
        <v>0</v>
      </c>
      <c r="P1133" s="287">
        <f t="shared" si="230"/>
        <v>0</v>
      </c>
      <c r="Q1133" s="474">
        <f t="shared" si="230"/>
        <v>50</v>
      </c>
      <c r="R1133" s="449">
        <f t="shared" si="230"/>
        <v>50</v>
      </c>
      <c r="S1133" s="465">
        <f t="shared" si="225"/>
        <v>100</v>
      </c>
    </row>
    <row r="1134" spans="1:19" ht="15.75" customHeight="1" thickBot="1">
      <c r="A1134" s="404" t="s">
        <v>120</v>
      </c>
      <c r="B1134" s="410">
        <v>905</v>
      </c>
      <c r="C1134" s="411" t="s">
        <v>472</v>
      </c>
      <c r="D1134" s="411" t="s">
        <v>198</v>
      </c>
      <c r="E1134" s="411" t="s">
        <v>10</v>
      </c>
      <c r="F1134" s="119" t="s">
        <v>112</v>
      </c>
      <c r="G1134" s="94">
        <f>G1143</f>
        <v>50</v>
      </c>
      <c r="H1134" s="87">
        <f>H1143</f>
        <v>50</v>
      </c>
      <c r="I1134" s="87">
        <f>I1143</f>
        <v>50</v>
      </c>
      <c r="J1134" s="94"/>
      <c r="K1134" s="291">
        <v>50</v>
      </c>
      <c r="L1134" s="329"/>
      <c r="M1134" s="87"/>
      <c r="N1134" s="94">
        <f>K1134+L1134+M1134</f>
        <v>50</v>
      </c>
      <c r="O1134" s="94"/>
      <c r="P1134" s="291"/>
      <c r="Q1134" s="488">
        <f>N1134+O1134+P1134</f>
        <v>50</v>
      </c>
      <c r="R1134" s="489">
        <v>50</v>
      </c>
      <c r="S1134" s="477">
        <f t="shared" si="225"/>
        <v>100</v>
      </c>
    </row>
    <row r="1135" spans="1:19" ht="26.25" hidden="1" thickBot="1">
      <c r="A1135" s="409" t="s">
        <v>11</v>
      </c>
      <c r="B1135" s="99">
        <v>905</v>
      </c>
      <c r="C1135" s="100" t="s">
        <v>472</v>
      </c>
      <c r="D1135" s="100" t="s">
        <v>198</v>
      </c>
      <c r="E1135" s="100" t="s">
        <v>477</v>
      </c>
      <c r="F1135" s="101" t="s">
        <v>201</v>
      </c>
      <c r="G1135" s="88">
        <f>G1136+G1141</f>
        <v>0</v>
      </c>
      <c r="H1135" s="55">
        <f>H1136+H1141</f>
        <v>0</v>
      </c>
      <c r="I1135" s="55">
        <f>I1136+I1141</f>
        <v>0</v>
      </c>
      <c r="J1135" s="88">
        <f>J1136+J1141</f>
        <v>0</v>
      </c>
      <c r="K1135" s="290">
        <f>K1136+K1141</f>
        <v>0</v>
      </c>
      <c r="L1135" s="360"/>
      <c r="M1135" s="55"/>
      <c r="N1135" s="88"/>
      <c r="O1135" s="88"/>
      <c r="P1135" s="290"/>
      <c r="Q1135" s="480"/>
      <c r="R1135" s="480"/>
      <c r="S1135" s="481" t="e">
        <f t="shared" si="225"/>
        <v>#DIV/0!</v>
      </c>
    </row>
    <row r="1136" spans="1:19" ht="13.5" hidden="1" thickBot="1">
      <c r="A1136" s="106" t="s">
        <v>325</v>
      </c>
      <c r="B1136" s="71">
        <v>905</v>
      </c>
      <c r="C1136" s="76" t="s">
        <v>472</v>
      </c>
      <c r="D1136" s="76" t="s">
        <v>198</v>
      </c>
      <c r="E1136" s="76" t="s">
        <v>477</v>
      </c>
      <c r="F1136" s="78" t="s">
        <v>326</v>
      </c>
      <c r="G1136" s="96">
        <f aca="true" t="shared" si="231" ref="G1136:K1138">G1137</f>
        <v>0</v>
      </c>
      <c r="H1136" s="75">
        <f t="shared" si="231"/>
        <v>0</v>
      </c>
      <c r="I1136" s="75">
        <f t="shared" si="231"/>
        <v>0</v>
      </c>
      <c r="J1136" s="96">
        <f t="shared" si="231"/>
        <v>0</v>
      </c>
      <c r="K1136" s="287">
        <f t="shared" si="231"/>
        <v>0</v>
      </c>
      <c r="L1136" s="313"/>
      <c r="M1136" s="75"/>
      <c r="N1136" s="96"/>
      <c r="O1136" s="96"/>
      <c r="P1136" s="287"/>
      <c r="Q1136" s="449"/>
      <c r="R1136" s="449"/>
      <c r="S1136" s="465" t="e">
        <f t="shared" si="225"/>
        <v>#DIV/0!</v>
      </c>
    </row>
    <row r="1137" spans="1:19" ht="13.5" hidden="1" thickBot="1">
      <c r="A1137" s="46" t="s">
        <v>210</v>
      </c>
      <c r="B1137" s="71">
        <v>905</v>
      </c>
      <c r="C1137" s="76" t="s">
        <v>472</v>
      </c>
      <c r="D1137" s="76" t="s">
        <v>198</v>
      </c>
      <c r="E1137" s="76" t="s">
        <v>477</v>
      </c>
      <c r="F1137" s="78" t="s">
        <v>326</v>
      </c>
      <c r="G1137" s="96">
        <f t="shared" si="231"/>
        <v>0</v>
      </c>
      <c r="H1137" s="75">
        <f t="shared" si="231"/>
        <v>0</v>
      </c>
      <c r="I1137" s="75">
        <f t="shared" si="231"/>
        <v>0</v>
      </c>
      <c r="J1137" s="96">
        <f t="shared" si="231"/>
        <v>0</v>
      </c>
      <c r="K1137" s="287">
        <f t="shared" si="231"/>
        <v>0</v>
      </c>
      <c r="L1137" s="313"/>
      <c r="M1137" s="75"/>
      <c r="N1137" s="96"/>
      <c r="O1137" s="96"/>
      <c r="P1137" s="287"/>
      <c r="Q1137" s="449"/>
      <c r="R1137" s="449"/>
      <c r="S1137" s="465" t="e">
        <f t="shared" si="225"/>
        <v>#DIV/0!</v>
      </c>
    </row>
    <row r="1138" spans="1:19" ht="13.5" hidden="1" thickBot="1">
      <c r="A1138" s="46" t="s">
        <v>222</v>
      </c>
      <c r="B1138" s="71">
        <v>905</v>
      </c>
      <c r="C1138" s="76" t="s">
        <v>472</v>
      </c>
      <c r="D1138" s="76" t="s">
        <v>198</v>
      </c>
      <c r="E1138" s="76" t="s">
        <v>477</v>
      </c>
      <c r="F1138" s="78" t="s">
        <v>326</v>
      </c>
      <c r="G1138" s="96">
        <f t="shared" si="231"/>
        <v>0</v>
      </c>
      <c r="H1138" s="75">
        <f t="shared" si="231"/>
        <v>0</v>
      </c>
      <c r="I1138" s="75">
        <f t="shared" si="231"/>
        <v>0</v>
      </c>
      <c r="J1138" s="96">
        <f t="shared" si="231"/>
        <v>0</v>
      </c>
      <c r="K1138" s="287">
        <f t="shared" si="231"/>
        <v>0</v>
      </c>
      <c r="L1138" s="313"/>
      <c r="M1138" s="75"/>
      <c r="N1138" s="96"/>
      <c r="O1138" s="96"/>
      <c r="P1138" s="287"/>
      <c r="Q1138" s="449"/>
      <c r="R1138" s="449"/>
      <c r="S1138" s="465" t="e">
        <f t="shared" si="225"/>
        <v>#DIV/0!</v>
      </c>
    </row>
    <row r="1139" spans="1:19" ht="13.5" hidden="1" thickBot="1">
      <c r="A1139" s="46" t="s">
        <v>225</v>
      </c>
      <c r="B1139" s="71">
        <v>905</v>
      </c>
      <c r="C1139" s="76" t="s">
        <v>472</v>
      </c>
      <c r="D1139" s="76" t="s">
        <v>198</v>
      </c>
      <c r="E1139" s="76" t="s">
        <v>477</v>
      </c>
      <c r="F1139" s="78" t="s">
        <v>326</v>
      </c>
      <c r="G1139" s="96">
        <v>0</v>
      </c>
      <c r="H1139" s="75">
        <v>0</v>
      </c>
      <c r="I1139" s="75">
        <v>0</v>
      </c>
      <c r="J1139" s="96">
        <v>0</v>
      </c>
      <c r="K1139" s="287">
        <v>0</v>
      </c>
      <c r="L1139" s="313"/>
      <c r="M1139" s="75"/>
      <c r="N1139" s="96"/>
      <c r="O1139" s="96"/>
      <c r="P1139" s="287"/>
      <c r="Q1139" s="449"/>
      <c r="R1139" s="449"/>
      <c r="S1139" s="465" t="e">
        <f t="shared" si="225"/>
        <v>#DIV/0!</v>
      </c>
    </row>
    <row r="1140" spans="1:19" ht="12.75" customHeight="1" hidden="1">
      <c r="A1140" s="45"/>
      <c r="B1140" s="71"/>
      <c r="C1140" s="76"/>
      <c r="D1140" s="76"/>
      <c r="E1140" s="76"/>
      <c r="F1140" s="78"/>
      <c r="G1140" s="96"/>
      <c r="H1140" s="75"/>
      <c r="I1140" s="75"/>
      <c r="J1140" s="96"/>
      <c r="K1140" s="287"/>
      <c r="L1140" s="313"/>
      <c r="M1140" s="75"/>
      <c r="N1140" s="96"/>
      <c r="O1140" s="96"/>
      <c r="P1140" s="287"/>
      <c r="Q1140" s="449"/>
      <c r="R1140" s="449"/>
      <c r="S1140" s="465" t="e">
        <f t="shared" si="225"/>
        <v>#DIV/0!</v>
      </c>
    </row>
    <row r="1141" spans="1:19" ht="10.5" customHeight="1" hidden="1">
      <c r="A1141" s="45"/>
      <c r="B1141" s="71">
        <v>905</v>
      </c>
      <c r="C1141" s="76" t="s">
        <v>472</v>
      </c>
      <c r="D1141" s="76" t="s">
        <v>198</v>
      </c>
      <c r="E1141" s="76" t="s">
        <v>477</v>
      </c>
      <c r="F1141" s="78" t="s">
        <v>326</v>
      </c>
      <c r="G1141" s="96">
        <f>SUM(G1142)</f>
        <v>0</v>
      </c>
      <c r="H1141" s="75">
        <f>SUM(H1142)</f>
        <v>0</v>
      </c>
      <c r="I1141" s="75">
        <f>SUM(I1142)</f>
        <v>0</v>
      </c>
      <c r="J1141" s="96">
        <f>SUM(J1142)</f>
        <v>0</v>
      </c>
      <c r="K1141" s="287">
        <f>SUM(K1142)</f>
        <v>0</v>
      </c>
      <c r="L1141" s="313"/>
      <c r="M1141" s="75"/>
      <c r="N1141" s="96"/>
      <c r="O1141" s="96"/>
      <c r="P1141" s="287"/>
      <c r="Q1141" s="449"/>
      <c r="R1141" s="449"/>
      <c r="S1141" s="465" t="e">
        <f t="shared" si="225"/>
        <v>#DIV/0!</v>
      </c>
    </row>
    <row r="1142" spans="1:19" ht="20.25" customHeight="1" hidden="1">
      <c r="A1142" s="153"/>
      <c r="B1142" s="90">
        <v>905</v>
      </c>
      <c r="C1142" s="91" t="s">
        <v>472</v>
      </c>
      <c r="D1142" s="91" t="s">
        <v>198</v>
      </c>
      <c r="E1142" s="91" t="s">
        <v>477</v>
      </c>
      <c r="F1142" s="93" t="s">
        <v>326</v>
      </c>
      <c r="G1142" s="96">
        <v>0</v>
      </c>
      <c r="H1142" s="75">
        <v>0</v>
      </c>
      <c r="I1142" s="75">
        <v>0</v>
      </c>
      <c r="J1142" s="96">
        <v>0</v>
      </c>
      <c r="K1142" s="287">
        <v>0</v>
      </c>
      <c r="L1142" s="313"/>
      <c r="M1142" s="75"/>
      <c r="N1142" s="96"/>
      <c r="O1142" s="96"/>
      <c r="P1142" s="287"/>
      <c r="Q1142" s="449"/>
      <c r="R1142" s="449"/>
      <c r="S1142" s="465" t="e">
        <f t="shared" si="225"/>
        <v>#DIV/0!</v>
      </c>
    </row>
    <row r="1143" spans="1:19" ht="13.5" hidden="1" thickBot="1">
      <c r="A1143" s="51"/>
      <c r="B1143" s="53"/>
      <c r="C1143" s="84"/>
      <c r="D1143" s="84"/>
      <c r="E1143" s="84"/>
      <c r="F1143" s="86" t="s">
        <v>238</v>
      </c>
      <c r="G1143" s="94">
        <v>50</v>
      </c>
      <c r="H1143" s="87">
        <v>50</v>
      </c>
      <c r="I1143" s="87">
        <v>50</v>
      </c>
      <c r="J1143" s="94">
        <v>50</v>
      </c>
      <c r="K1143" s="291">
        <v>50</v>
      </c>
      <c r="L1143" s="315"/>
      <c r="M1143" s="82"/>
      <c r="N1143" s="89"/>
      <c r="O1143" s="89"/>
      <c r="P1143" s="275"/>
      <c r="Q1143" s="448"/>
      <c r="R1143" s="448"/>
      <c r="S1143" s="465" t="e">
        <f t="shared" si="225"/>
        <v>#DIV/0!</v>
      </c>
    </row>
    <row r="1144" spans="1:19" ht="15" customHeight="1" hidden="1" thickBot="1">
      <c r="A1144" s="98" t="s">
        <v>247</v>
      </c>
      <c r="B1144" s="66" t="s">
        <v>340</v>
      </c>
      <c r="C1144" s="67" t="s">
        <v>472</v>
      </c>
      <c r="D1144" s="67" t="s">
        <v>198</v>
      </c>
      <c r="E1144" s="67" t="s">
        <v>248</v>
      </c>
      <c r="F1144" s="69" t="s">
        <v>201</v>
      </c>
      <c r="G1144" s="200">
        <f aca="true" t="shared" si="232" ref="G1144:K1145">G1145</f>
        <v>0</v>
      </c>
      <c r="H1144" s="70">
        <f t="shared" si="232"/>
        <v>0</v>
      </c>
      <c r="I1144" s="70">
        <f t="shared" si="232"/>
        <v>0</v>
      </c>
      <c r="J1144" s="200">
        <f t="shared" si="232"/>
        <v>0</v>
      </c>
      <c r="K1144" s="286">
        <f t="shared" si="232"/>
        <v>0</v>
      </c>
      <c r="L1144" s="313"/>
      <c r="M1144" s="75"/>
      <c r="N1144" s="96"/>
      <c r="O1144" s="96"/>
      <c r="P1144" s="287"/>
      <c r="Q1144" s="449"/>
      <c r="R1144" s="449"/>
      <c r="S1144" s="465" t="e">
        <f t="shared" si="225"/>
        <v>#DIV/0!</v>
      </c>
    </row>
    <row r="1145" spans="1:19" ht="1.5" customHeight="1" hidden="1" thickBot="1">
      <c r="A1145" s="103" t="s">
        <v>402</v>
      </c>
      <c r="B1145" s="99" t="s">
        <v>340</v>
      </c>
      <c r="C1145" s="100" t="s">
        <v>472</v>
      </c>
      <c r="D1145" s="100" t="s">
        <v>198</v>
      </c>
      <c r="E1145" s="100" t="s">
        <v>248</v>
      </c>
      <c r="F1145" s="101" t="s">
        <v>403</v>
      </c>
      <c r="G1145" s="102">
        <f t="shared" si="232"/>
        <v>0</v>
      </c>
      <c r="H1145" s="137">
        <f t="shared" si="232"/>
        <v>0</v>
      </c>
      <c r="I1145" s="137">
        <f t="shared" si="232"/>
        <v>0</v>
      </c>
      <c r="J1145" s="102">
        <f t="shared" si="232"/>
        <v>0</v>
      </c>
      <c r="K1145" s="280">
        <f t="shared" si="232"/>
        <v>0</v>
      </c>
      <c r="L1145" s="315"/>
      <c r="M1145" s="82"/>
      <c r="N1145" s="89"/>
      <c r="O1145" s="89"/>
      <c r="P1145" s="275"/>
      <c r="Q1145" s="448"/>
      <c r="R1145" s="448"/>
      <c r="S1145" s="465" t="e">
        <f t="shared" si="225"/>
        <v>#DIV/0!</v>
      </c>
    </row>
    <row r="1146" spans="1:19" ht="13.5" hidden="1" thickBot="1">
      <c r="A1146" s="56"/>
      <c r="B1146" s="53"/>
      <c r="C1146" s="84"/>
      <c r="D1146" s="84"/>
      <c r="E1146" s="84"/>
      <c r="F1146" s="86" t="s">
        <v>217</v>
      </c>
      <c r="G1146" s="94"/>
      <c r="H1146" s="87"/>
      <c r="I1146" s="87"/>
      <c r="J1146" s="94"/>
      <c r="K1146" s="291"/>
      <c r="L1146" s="315"/>
      <c r="M1146" s="82"/>
      <c r="N1146" s="89"/>
      <c r="O1146" s="89"/>
      <c r="P1146" s="275"/>
      <c r="Q1146" s="448"/>
      <c r="R1146" s="448"/>
      <c r="S1146" s="465" t="e">
        <f t="shared" si="225"/>
        <v>#DIV/0!</v>
      </c>
    </row>
    <row r="1147" spans="1:19" ht="16.5" customHeight="1">
      <c r="A1147" s="65" t="s">
        <v>541</v>
      </c>
      <c r="B1147" s="66" t="s">
        <v>340</v>
      </c>
      <c r="C1147" s="67" t="s">
        <v>472</v>
      </c>
      <c r="D1147" s="67" t="s">
        <v>198</v>
      </c>
      <c r="E1147" s="67" t="s">
        <v>329</v>
      </c>
      <c r="F1147" s="69"/>
      <c r="G1147" s="200">
        <f>G1151+G1172+G1177</f>
        <v>6200</v>
      </c>
      <c r="H1147" s="200" t="e">
        <f>H1151+H1172+H1177</f>
        <v>#REF!</v>
      </c>
      <c r="I1147" s="200" t="e">
        <f>I1151+I1172+I1177</f>
        <v>#REF!</v>
      </c>
      <c r="J1147" s="200">
        <f>J1151+J1172+J1177</f>
        <v>-2677.331</v>
      </c>
      <c r="K1147" s="286">
        <f>K1151+K1172+K1177</f>
        <v>3522.669</v>
      </c>
      <c r="L1147" s="313"/>
      <c r="M1147" s="75"/>
      <c r="N1147" s="96"/>
      <c r="O1147" s="96"/>
      <c r="P1147" s="287"/>
      <c r="Q1147" s="449">
        <f>Q1148</f>
        <v>500</v>
      </c>
      <c r="R1147" s="449">
        <f>R1148</f>
        <v>500</v>
      </c>
      <c r="S1147" s="465">
        <f t="shared" si="225"/>
        <v>100</v>
      </c>
    </row>
    <row r="1148" spans="1:19" ht="42" customHeight="1">
      <c r="A1148" s="109" t="s">
        <v>514</v>
      </c>
      <c r="B1148" s="99" t="s">
        <v>340</v>
      </c>
      <c r="C1148" s="112" t="s">
        <v>472</v>
      </c>
      <c r="D1148" s="112" t="s">
        <v>198</v>
      </c>
      <c r="E1148" s="112" t="s">
        <v>513</v>
      </c>
      <c r="F1148" s="104"/>
      <c r="G1148" s="88">
        <f aca="true" t="shared" si="233" ref="G1148:R1148">G1149</f>
        <v>0</v>
      </c>
      <c r="H1148" s="88">
        <f t="shared" si="233"/>
        <v>0</v>
      </c>
      <c r="I1148" s="88">
        <f t="shared" si="233"/>
        <v>0</v>
      </c>
      <c r="J1148" s="88">
        <f t="shared" si="233"/>
        <v>500</v>
      </c>
      <c r="K1148" s="290">
        <f t="shared" si="233"/>
        <v>500</v>
      </c>
      <c r="L1148" s="290">
        <f t="shared" si="233"/>
        <v>0</v>
      </c>
      <c r="M1148" s="290">
        <f t="shared" si="233"/>
        <v>0</v>
      </c>
      <c r="N1148" s="290">
        <f t="shared" si="233"/>
        <v>500</v>
      </c>
      <c r="O1148" s="290">
        <f t="shared" si="233"/>
        <v>0</v>
      </c>
      <c r="P1148" s="290">
        <f t="shared" si="233"/>
        <v>0</v>
      </c>
      <c r="Q1148" s="449">
        <f t="shared" si="233"/>
        <v>500</v>
      </c>
      <c r="R1148" s="449">
        <f t="shared" si="233"/>
        <v>500</v>
      </c>
      <c r="S1148" s="465">
        <f t="shared" si="225"/>
        <v>100</v>
      </c>
    </row>
    <row r="1149" spans="1:19" ht="15.75" customHeight="1" thickBot="1">
      <c r="A1149" s="397" t="s">
        <v>120</v>
      </c>
      <c r="B1149" s="210" t="s">
        <v>340</v>
      </c>
      <c r="C1149" s="118" t="s">
        <v>472</v>
      </c>
      <c r="D1149" s="118" t="s">
        <v>198</v>
      </c>
      <c r="E1149" s="118" t="s">
        <v>513</v>
      </c>
      <c r="F1149" s="119" t="s">
        <v>512</v>
      </c>
      <c r="G1149" s="94"/>
      <c r="H1149" s="94"/>
      <c r="I1149" s="94"/>
      <c r="J1149" s="94">
        <v>500</v>
      </c>
      <c r="K1149" s="291">
        <f>G1149+J1149</f>
        <v>500</v>
      </c>
      <c r="L1149" s="329"/>
      <c r="M1149" s="87"/>
      <c r="N1149" s="94">
        <f>K1149+L1149+M1149</f>
        <v>500</v>
      </c>
      <c r="O1149" s="94"/>
      <c r="P1149" s="291"/>
      <c r="Q1149" s="448">
        <f>N1149+O1149+P1149</f>
        <v>500</v>
      </c>
      <c r="R1149" s="448">
        <v>500</v>
      </c>
      <c r="S1149" s="444">
        <f t="shared" si="225"/>
        <v>100</v>
      </c>
    </row>
    <row r="1150" spans="1:19" ht="16.5" customHeight="1">
      <c r="A1150" s="109" t="s">
        <v>291</v>
      </c>
      <c r="B1150" s="99" t="s">
        <v>340</v>
      </c>
      <c r="C1150" s="112" t="s">
        <v>472</v>
      </c>
      <c r="D1150" s="112" t="s">
        <v>198</v>
      </c>
      <c r="E1150" s="112" t="s">
        <v>292</v>
      </c>
      <c r="F1150" s="104"/>
      <c r="G1150" s="88">
        <f>G1154+G1175+G1180</f>
        <v>0</v>
      </c>
      <c r="H1150" s="88">
        <f>H1154+H1175+H1180</f>
        <v>0</v>
      </c>
      <c r="I1150" s="88">
        <f>I1154+I1175+I1180</f>
        <v>0</v>
      </c>
      <c r="J1150" s="88">
        <f>J1154+J1175+J1180</f>
        <v>0</v>
      </c>
      <c r="K1150" s="290">
        <f>K1154+K1175+K1180</f>
        <v>67.569</v>
      </c>
      <c r="L1150" s="360"/>
      <c r="M1150" s="55"/>
      <c r="N1150" s="88"/>
      <c r="O1150" s="88"/>
      <c r="P1150" s="290"/>
      <c r="Q1150" s="449">
        <f>Q1151+Q1173+Q1177</f>
        <v>2957.9089999999997</v>
      </c>
      <c r="R1150" s="449">
        <f>R1151+R1173+R1177</f>
        <v>2909.78963</v>
      </c>
      <c r="S1150" s="465">
        <f t="shared" si="225"/>
        <v>98.37319640327003</v>
      </c>
    </row>
    <row r="1151" spans="1:19" ht="28.5" customHeight="1">
      <c r="A1151" s="109" t="s">
        <v>175</v>
      </c>
      <c r="B1151" s="99" t="s">
        <v>340</v>
      </c>
      <c r="C1151" s="112" t="s">
        <v>472</v>
      </c>
      <c r="D1151" s="112" t="s">
        <v>198</v>
      </c>
      <c r="E1151" s="112" t="s">
        <v>418</v>
      </c>
      <c r="F1151" s="104"/>
      <c r="G1151" s="88">
        <f aca="true" t="shared" si="234" ref="G1151:R1151">G1152</f>
        <v>200</v>
      </c>
      <c r="H1151" s="88">
        <f t="shared" si="234"/>
        <v>0</v>
      </c>
      <c r="I1151" s="88">
        <f t="shared" si="234"/>
        <v>0</v>
      </c>
      <c r="J1151" s="88">
        <f t="shared" si="234"/>
        <v>0</v>
      </c>
      <c r="K1151" s="290">
        <f t="shared" si="234"/>
        <v>200</v>
      </c>
      <c r="L1151" s="290">
        <f t="shared" si="234"/>
        <v>220</v>
      </c>
      <c r="M1151" s="290">
        <f t="shared" si="234"/>
        <v>0</v>
      </c>
      <c r="N1151" s="290">
        <f t="shared" si="234"/>
        <v>420</v>
      </c>
      <c r="O1151" s="290">
        <f t="shared" si="234"/>
        <v>-2.36</v>
      </c>
      <c r="P1151" s="290">
        <f t="shared" si="234"/>
        <v>0</v>
      </c>
      <c r="Q1151" s="449">
        <f t="shared" si="234"/>
        <v>417.64</v>
      </c>
      <c r="R1151" s="449">
        <f t="shared" si="234"/>
        <v>417.64</v>
      </c>
      <c r="S1151" s="465">
        <f t="shared" si="225"/>
        <v>100</v>
      </c>
    </row>
    <row r="1152" spans="1:19" ht="15.75" customHeight="1">
      <c r="A1152" s="106" t="s">
        <v>120</v>
      </c>
      <c r="B1152" s="141" t="s">
        <v>340</v>
      </c>
      <c r="C1152" s="76" t="s">
        <v>472</v>
      </c>
      <c r="D1152" s="76" t="s">
        <v>198</v>
      </c>
      <c r="E1152" s="76" t="s">
        <v>418</v>
      </c>
      <c r="F1152" s="78" t="s">
        <v>512</v>
      </c>
      <c r="G1152" s="89">
        <f>G1164</f>
        <v>200</v>
      </c>
      <c r="H1152" s="89">
        <f>H1164</f>
        <v>0</v>
      </c>
      <c r="I1152" s="89">
        <f>I1164</f>
        <v>0</v>
      </c>
      <c r="J1152" s="89">
        <f>J1164</f>
        <v>0</v>
      </c>
      <c r="K1152" s="275">
        <f aca="true" t="shared" si="235" ref="K1152:Q1152">K1163+K1164</f>
        <v>200</v>
      </c>
      <c r="L1152" s="275">
        <f t="shared" si="235"/>
        <v>220</v>
      </c>
      <c r="M1152" s="275">
        <f t="shared" si="235"/>
        <v>0</v>
      </c>
      <c r="N1152" s="275">
        <f t="shared" si="235"/>
        <v>420</v>
      </c>
      <c r="O1152" s="275">
        <f t="shared" si="235"/>
        <v>-2.36</v>
      </c>
      <c r="P1152" s="275">
        <f t="shared" si="235"/>
        <v>0</v>
      </c>
      <c r="Q1152" s="448">
        <f t="shared" si="235"/>
        <v>417.64</v>
      </c>
      <c r="R1152" s="448">
        <v>417.64</v>
      </c>
      <c r="S1152" s="444">
        <f t="shared" si="225"/>
        <v>100</v>
      </c>
    </row>
    <row r="1153" spans="1:19" ht="15" customHeight="1" hidden="1">
      <c r="A1153" s="109" t="s">
        <v>222</v>
      </c>
      <c r="B1153" s="99" t="s">
        <v>340</v>
      </c>
      <c r="C1153" s="100" t="s">
        <v>472</v>
      </c>
      <c r="D1153" s="100" t="s">
        <v>198</v>
      </c>
      <c r="E1153" s="100" t="s">
        <v>292</v>
      </c>
      <c r="F1153" s="101" t="s">
        <v>209</v>
      </c>
      <c r="G1153" s="102">
        <f>G1155+G1156+G1154</f>
        <v>0</v>
      </c>
      <c r="H1153" s="137">
        <f>H1155+H1156+H1154</f>
        <v>0</v>
      </c>
      <c r="I1153" s="137">
        <f>I1155+I1156+I1154</f>
        <v>0</v>
      </c>
      <c r="J1153" s="102">
        <f>J1155+J1156+J1154</f>
        <v>0</v>
      </c>
      <c r="K1153" s="280">
        <f>K1155+K1156+K1154</f>
        <v>0</v>
      </c>
      <c r="L1153" s="331"/>
      <c r="M1153" s="137"/>
      <c r="N1153" s="102"/>
      <c r="O1153" s="102"/>
      <c r="P1153" s="280"/>
      <c r="Q1153" s="448"/>
      <c r="R1153" s="448"/>
      <c r="S1153" s="465" t="e">
        <f t="shared" si="225"/>
        <v>#DIV/0!</v>
      </c>
    </row>
    <row r="1154" spans="1:19" ht="14.25" customHeight="1" hidden="1">
      <c r="A1154" s="46" t="s">
        <v>223</v>
      </c>
      <c r="B1154" s="71" t="s">
        <v>340</v>
      </c>
      <c r="C1154" s="76" t="s">
        <v>472</v>
      </c>
      <c r="D1154" s="76" t="s">
        <v>198</v>
      </c>
      <c r="E1154" s="76" t="s">
        <v>418</v>
      </c>
      <c r="F1154" s="78" t="s">
        <v>209</v>
      </c>
      <c r="G1154" s="89"/>
      <c r="H1154" s="82"/>
      <c r="I1154" s="82"/>
      <c r="J1154" s="89"/>
      <c r="K1154" s="275"/>
      <c r="L1154" s="315"/>
      <c r="M1154" s="82"/>
      <c r="N1154" s="89"/>
      <c r="O1154" s="89"/>
      <c r="P1154" s="275"/>
      <c r="Q1154" s="448"/>
      <c r="R1154" s="448"/>
      <c r="S1154" s="465" t="e">
        <f t="shared" si="225"/>
        <v>#DIV/0!</v>
      </c>
    </row>
    <row r="1155" spans="1:19" ht="14.25" customHeight="1" hidden="1">
      <c r="A1155" s="46" t="s">
        <v>225</v>
      </c>
      <c r="B1155" s="71" t="s">
        <v>340</v>
      </c>
      <c r="C1155" s="76" t="s">
        <v>472</v>
      </c>
      <c r="D1155" s="76" t="s">
        <v>198</v>
      </c>
      <c r="E1155" s="76" t="s">
        <v>418</v>
      </c>
      <c r="F1155" s="78" t="s">
        <v>209</v>
      </c>
      <c r="G1155" s="89"/>
      <c r="H1155" s="82"/>
      <c r="I1155" s="82"/>
      <c r="J1155" s="89"/>
      <c r="K1155" s="275"/>
      <c r="L1155" s="315"/>
      <c r="M1155" s="82"/>
      <c r="N1155" s="89"/>
      <c r="O1155" s="89"/>
      <c r="P1155" s="275"/>
      <c r="Q1155" s="448"/>
      <c r="R1155" s="448"/>
      <c r="S1155" s="465" t="e">
        <f t="shared" si="225"/>
        <v>#DIV/0!</v>
      </c>
    </row>
    <row r="1156" spans="1:19" ht="14.25" customHeight="1" hidden="1">
      <c r="A1156" s="46" t="s">
        <v>226</v>
      </c>
      <c r="B1156" s="71" t="s">
        <v>340</v>
      </c>
      <c r="C1156" s="76" t="s">
        <v>472</v>
      </c>
      <c r="D1156" s="76" t="s">
        <v>198</v>
      </c>
      <c r="E1156" s="76" t="s">
        <v>418</v>
      </c>
      <c r="F1156" s="78" t="s">
        <v>209</v>
      </c>
      <c r="G1156" s="89"/>
      <c r="H1156" s="82"/>
      <c r="I1156" s="82"/>
      <c r="J1156" s="89"/>
      <c r="K1156" s="275"/>
      <c r="L1156" s="315"/>
      <c r="M1156" s="82"/>
      <c r="N1156" s="89"/>
      <c r="O1156" s="89"/>
      <c r="P1156" s="275"/>
      <c r="Q1156" s="448"/>
      <c r="R1156" s="448"/>
      <c r="S1156" s="465" t="e">
        <f t="shared" si="225"/>
        <v>#DIV/0!</v>
      </c>
    </row>
    <row r="1157" spans="1:19" ht="14.25" customHeight="1" hidden="1">
      <c r="A1157" s="46" t="s">
        <v>228</v>
      </c>
      <c r="B1157" s="71" t="s">
        <v>340</v>
      </c>
      <c r="C1157" s="76" t="s">
        <v>472</v>
      </c>
      <c r="D1157" s="76" t="s">
        <v>198</v>
      </c>
      <c r="E1157" s="76" t="s">
        <v>12</v>
      </c>
      <c r="F1157" s="78" t="s">
        <v>209</v>
      </c>
      <c r="G1157" s="89">
        <f>G1158</f>
        <v>0</v>
      </c>
      <c r="H1157" s="82">
        <f>H1158</f>
        <v>0</v>
      </c>
      <c r="I1157" s="82">
        <f>I1158</f>
        <v>0</v>
      </c>
      <c r="J1157" s="89">
        <f>J1158</f>
        <v>0</v>
      </c>
      <c r="K1157" s="275">
        <f>K1158</f>
        <v>0</v>
      </c>
      <c r="L1157" s="315"/>
      <c r="M1157" s="82"/>
      <c r="N1157" s="89"/>
      <c r="O1157" s="89"/>
      <c r="P1157" s="275"/>
      <c r="Q1157" s="448"/>
      <c r="R1157" s="448"/>
      <c r="S1157" s="465" t="e">
        <f t="shared" si="225"/>
        <v>#DIV/0!</v>
      </c>
    </row>
    <row r="1158" spans="1:19" ht="14.25" customHeight="1" hidden="1">
      <c r="A1158" s="46" t="s">
        <v>230</v>
      </c>
      <c r="B1158" s="71" t="s">
        <v>340</v>
      </c>
      <c r="C1158" s="76" t="s">
        <v>472</v>
      </c>
      <c r="D1158" s="76" t="s">
        <v>198</v>
      </c>
      <c r="E1158" s="76" t="s">
        <v>12</v>
      </c>
      <c r="F1158" s="78" t="s">
        <v>209</v>
      </c>
      <c r="G1158" s="89"/>
      <c r="H1158" s="82"/>
      <c r="I1158" s="82"/>
      <c r="J1158" s="89"/>
      <c r="K1158" s="275"/>
      <c r="L1158" s="315"/>
      <c r="M1158" s="82"/>
      <c r="N1158" s="89"/>
      <c r="O1158" s="89"/>
      <c r="P1158" s="275"/>
      <c r="Q1158" s="448"/>
      <c r="R1158" s="448"/>
      <c r="S1158" s="465" t="e">
        <f t="shared" si="225"/>
        <v>#DIV/0!</v>
      </c>
    </row>
    <row r="1159" spans="1:19" ht="14.25" customHeight="1" hidden="1">
      <c r="A1159" s="108"/>
      <c r="B1159" s="90"/>
      <c r="C1159" s="91"/>
      <c r="D1159" s="91"/>
      <c r="E1159" s="91"/>
      <c r="F1159" s="93" t="s">
        <v>233</v>
      </c>
      <c r="G1159" s="89"/>
      <c r="H1159" s="82"/>
      <c r="I1159" s="82"/>
      <c r="J1159" s="89"/>
      <c r="K1159" s="275"/>
      <c r="L1159" s="315"/>
      <c r="M1159" s="82"/>
      <c r="N1159" s="89"/>
      <c r="O1159" s="89"/>
      <c r="P1159" s="275"/>
      <c r="Q1159" s="448"/>
      <c r="R1159" s="448"/>
      <c r="S1159" s="465" t="e">
        <f t="shared" si="225"/>
        <v>#DIV/0!</v>
      </c>
    </row>
    <row r="1160" spans="1:19" ht="12.75" hidden="1">
      <c r="A1160" s="108"/>
      <c r="B1160" s="90"/>
      <c r="C1160" s="91"/>
      <c r="D1160" s="91"/>
      <c r="E1160" s="91"/>
      <c r="F1160" s="93" t="s">
        <v>235</v>
      </c>
      <c r="G1160" s="89"/>
      <c r="H1160" s="82"/>
      <c r="I1160" s="82"/>
      <c r="J1160" s="89"/>
      <c r="K1160" s="275"/>
      <c r="L1160" s="315"/>
      <c r="M1160" s="82"/>
      <c r="N1160" s="89"/>
      <c r="O1160" s="89"/>
      <c r="P1160" s="275"/>
      <c r="Q1160" s="448"/>
      <c r="R1160" s="448"/>
      <c r="S1160" s="465" t="e">
        <f t="shared" si="225"/>
        <v>#DIV/0!</v>
      </c>
    </row>
    <row r="1161" spans="1:19" ht="12.75" hidden="1">
      <c r="A1161" s="108"/>
      <c r="B1161" s="90"/>
      <c r="C1161" s="91"/>
      <c r="D1161" s="91"/>
      <c r="E1161" s="91"/>
      <c r="F1161" s="93" t="s">
        <v>236</v>
      </c>
      <c r="G1161" s="89"/>
      <c r="H1161" s="82"/>
      <c r="I1161" s="82"/>
      <c r="J1161" s="89"/>
      <c r="K1161" s="275"/>
      <c r="L1161" s="315"/>
      <c r="M1161" s="82"/>
      <c r="N1161" s="89"/>
      <c r="O1161" s="89"/>
      <c r="P1161" s="275"/>
      <c r="Q1161" s="448"/>
      <c r="R1161" s="448"/>
      <c r="S1161" s="465" t="e">
        <f t="shared" si="225"/>
        <v>#DIV/0!</v>
      </c>
    </row>
    <row r="1162" spans="1:19" ht="12.75" hidden="1">
      <c r="A1162" s="213" t="s">
        <v>120</v>
      </c>
      <c r="B1162" s="214" t="s">
        <v>340</v>
      </c>
      <c r="C1162" s="91" t="s">
        <v>472</v>
      </c>
      <c r="D1162" s="91" t="s">
        <v>198</v>
      </c>
      <c r="E1162" s="91" t="s">
        <v>418</v>
      </c>
      <c r="F1162" s="93" t="s">
        <v>112</v>
      </c>
      <c r="G1162" s="89">
        <f>G1164+G1165+G1166+G1167</f>
        <v>400</v>
      </c>
      <c r="H1162" s="82">
        <f>H1164+H1165+H1166+H1167</f>
        <v>0</v>
      </c>
      <c r="I1162" s="82">
        <f>I1164+I1165+I1166+I1167</f>
        <v>0</v>
      </c>
      <c r="J1162" s="89"/>
      <c r="K1162" s="275">
        <f>G1162+J1162</f>
        <v>400</v>
      </c>
      <c r="L1162" s="315"/>
      <c r="M1162" s="82"/>
      <c r="N1162" s="89"/>
      <c r="O1162" s="89"/>
      <c r="P1162" s="275"/>
      <c r="Q1162" s="448"/>
      <c r="R1162" s="448"/>
      <c r="S1162" s="465" t="e">
        <f t="shared" si="225"/>
        <v>#DIV/0!</v>
      </c>
    </row>
    <row r="1163" spans="1:19" ht="16.5" customHeight="1" hidden="1">
      <c r="A1163" s="213"/>
      <c r="B1163" s="214"/>
      <c r="C1163" s="91"/>
      <c r="D1163" s="91"/>
      <c r="E1163" s="91"/>
      <c r="F1163" s="93" t="s">
        <v>235</v>
      </c>
      <c r="G1163" s="89"/>
      <c r="H1163" s="82"/>
      <c r="I1163" s="82"/>
      <c r="J1163" s="89"/>
      <c r="K1163" s="275">
        <v>25</v>
      </c>
      <c r="L1163" s="315">
        <v>220</v>
      </c>
      <c r="M1163" s="82"/>
      <c r="N1163" s="89">
        <f>K1163+L1163+M1163</f>
        <v>245</v>
      </c>
      <c r="O1163" s="378">
        <v>-2.36</v>
      </c>
      <c r="P1163" s="275"/>
      <c r="Q1163" s="448">
        <f>N1163+O1163+P1163</f>
        <v>242.64</v>
      </c>
      <c r="R1163" s="448">
        <f>O1163+P1163+Q1163</f>
        <v>240.27999999999997</v>
      </c>
      <c r="S1163" s="465">
        <f t="shared" si="225"/>
        <v>99.02736564457632</v>
      </c>
    </row>
    <row r="1164" spans="1:19" ht="15" customHeight="1" hidden="1">
      <c r="A1164" s="108"/>
      <c r="B1164" s="90"/>
      <c r="C1164" s="91"/>
      <c r="D1164" s="91"/>
      <c r="E1164" s="91"/>
      <c r="F1164" s="93" t="s">
        <v>236</v>
      </c>
      <c r="G1164" s="89">
        <v>200</v>
      </c>
      <c r="H1164" s="82"/>
      <c r="I1164" s="82"/>
      <c r="J1164" s="89"/>
      <c r="K1164" s="275">
        <v>175</v>
      </c>
      <c r="L1164" s="315"/>
      <c r="M1164" s="82"/>
      <c r="N1164" s="89">
        <f>K1164+L1164+M1164</f>
        <v>175</v>
      </c>
      <c r="O1164" s="89"/>
      <c r="P1164" s="275"/>
      <c r="Q1164" s="448">
        <f>N1164+O1164+P1164</f>
        <v>175</v>
      </c>
      <c r="R1164" s="448">
        <f>O1164+P1164+Q1164</f>
        <v>175</v>
      </c>
      <c r="S1164" s="465">
        <f t="shared" si="225"/>
        <v>100</v>
      </c>
    </row>
    <row r="1165" spans="1:19" ht="12.75" hidden="1">
      <c r="A1165" s="108"/>
      <c r="B1165" s="90"/>
      <c r="C1165" s="91"/>
      <c r="D1165" s="91"/>
      <c r="E1165" s="91"/>
      <c r="F1165" s="93" t="s">
        <v>233</v>
      </c>
      <c r="G1165" s="89"/>
      <c r="H1165" s="82"/>
      <c r="I1165" s="82"/>
      <c r="J1165" s="89"/>
      <c r="K1165" s="275"/>
      <c r="L1165" s="315"/>
      <c r="M1165" s="82"/>
      <c r="N1165" s="89"/>
      <c r="O1165" s="89"/>
      <c r="P1165" s="275"/>
      <c r="Q1165" s="448"/>
      <c r="R1165" s="448"/>
      <c r="S1165" s="465" t="e">
        <f aca="true" t="shared" si="236" ref="S1165:S1228">R1165/Q1165*100</f>
        <v>#DIV/0!</v>
      </c>
    </row>
    <row r="1166" spans="1:19" ht="12.75" hidden="1">
      <c r="A1166" s="108"/>
      <c r="B1166" s="90"/>
      <c r="C1166" s="91"/>
      <c r="D1166" s="91"/>
      <c r="E1166" s="91"/>
      <c r="F1166" s="93" t="s">
        <v>238</v>
      </c>
      <c r="G1166" s="89"/>
      <c r="H1166" s="82"/>
      <c r="I1166" s="82"/>
      <c r="J1166" s="89"/>
      <c r="K1166" s="275"/>
      <c r="L1166" s="315"/>
      <c r="M1166" s="82"/>
      <c r="N1166" s="89"/>
      <c r="O1166" s="89"/>
      <c r="P1166" s="275"/>
      <c r="Q1166" s="448"/>
      <c r="R1166" s="448"/>
      <c r="S1166" s="465" t="e">
        <f t="shared" si="236"/>
        <v>#DIV/0!</v>
      </c>
    </row>
    <row r="1167" spans="1:19" ht="12.75" hidden="1">
      <c r="A1167" s="108"/>
      <c r="B1167" s="90"/>
      <c r="C1167" s="91"/>
      <c r="D1167" s="91"/>
      <c r="E1167" s="91"/>
      <c r="F1167" s="93" t="s">
        <v>236</v>
      </c>
      <c r="G1167" s="89">
        <v>200</v>
      </c>
      <c r="H1167" s="82"/>
      <c r="I1167" s="82"/>
      <c r="J1167" s="89">
        <v>200</v>
      </c>
      <c r="K1167" s="275">
        <v>200</v>
      </c>
      <c r="L1167" s="315"/>
      <c r="M1167" s="82"/>
      <c r="N1167" s="89"/>
      <c r="O1167" s="89"/>
      <c r="P1167" s="275"/>
      <c r="Q1167" s="448"/>
      <c r="R1167" s="448"/>
      <c r="S1167" s="465" t="e">
        <f t="shared" si="236"/>
        <v>#DIV/0!</v>
      </c>
    </row>
    <row r="1168" spans="1:19" ht="38.25" hidden="1">
      <c r="A1168" s="108" t="s">
        <v>423</v>
      </c>
      <c r="B1168" s="90" t="s">
        <v>340</v>
      </c>
      <c r="C1168" s="129" t="s">
        <v>472</v>
      </c>
      <c r="D1168" s="129" t="s">
        <v>198</v>
      </c>
      <c r="E1168" s="129" t="s">
        <v>424</v>
      </c>
      <c r="F1168" s="131" t="s">
        <v>201</v>
      </c>
      <c r="G1168" s="96">
        <f>G1169</f>
        <v>0</v>
      </c>
      <c r="H1168" s="75">
        <f>H1169</f>
        <v>0</v>
      </c>
      <c r="I1168" s="75">
        <f>I1169</f>
        <v>0</v>
      </c>
      <c r="J1168" s="96">
        <f>J1169</f>
        <v>0</v>
      </c>
      <c r="K1168" s="287">
        <f>K1169</f>
        <v>0</v>
      </c>
      <c r="L1168" s="313"/>
      <c r="M1168" s="75"/>
      <c r="N1168" s="96"/>
      <c r="O1168" s="96"/>
      <c r="P1168" s="287"/>
      <c r="Q1168" s="449"/>
      <c r="R1168" s="449"/>
      <c r="S1168" s="465" t="e">
        <f t="shared" si="236"/>
        <v>#DIV/0!</v>
      </c>
    </row>
    <row r="1169" spans="1:19" ht="45.75" customHeight="1" hidden="1">
      <c r="A1169" s="108" t="s">
        <v>208</v>
      </c>
      <c r="B1169" s="90" t="s">
        <v>340</v>
      </c>
      <c r="C1169" s="91" t="s">
        <v>472</v>
      </c>
      <c r="D1169" s="91" t="s">
        <v>198</v>
      </c>
      <c r="E1169" s="91" t="s">
        <v>424</v>
      </c>
      <c r="F1169" s="93" t="s">
        <v>209</v>
      </c>
      <c r="G1169" s="89">
        <f>G1170+G1171</f>
        <v>0</v>
      </c>
      <c r="H1169" s="82">
        <f>H1170+H1171</f>
        <v>0</v>
      </c>
      <c r="I1169" s="82">
        <f>I1170+I1171</f>
        <v>0</v>
      </c>
      <c r="J1169" s="89">
        <f>J1170+J1171</f>
        <v>0</v>
      </c>
      <c r="K1169" s="275">
        <f>K1170+K1171</f>
        <v>0</v>
      </c>
      <c r="L1169" s="315"/>
      <c r="M1169" s="82"/>
      <c r="N1169" s="89"/>
      <c r="O1169" s="89"/>
      <c r="P1169" s="275"/>
      <c r="Q1169" s="448"/>
      <c r="R1169" s="448"/>
      <c r="S1169" s="465" t="e">
        <f t="shared" si="236"/>
        <v>#DIV/0!</v>
      </c>
    </row>
    <row r="1170" spans="1:19" ht="12.75" hidden="1">
      <c r="A1170" s="46"/>
      <c r="B1170" s="71"/>
      <c r="C1170" s="76"/>
      <c r="D1170" s="76"/>
      <c r="E1170" s="76"/>
      <c r="F1170" s="78" t="s">
        <v>236</v>
      </c>
      <c r="G1170" s="89"/>
      <c r="H1170" s="82"/>
      <c r="I1170" s="82"/>
      <c r="J1170" s="89"/>
      <c r="K1170" s="275"/>
      <c r="L1170" s="315"/>
      <c r="M1170" s="82"/>
      <c r="N1170" s="89"/>
      <c r="O1170" s="89"/>
      <c r="P1170" s="275"/>
      <c r="Q1170" s="448"/>
      <c r="R1170" s="448"/>
      <c r="S1170" s="465" t="e">
        <f t="shared" si="236"/>
        <v>#DIV/0!</v>
      </c>
    </row>
    <row r="1171" spans="1:19" ht="12.75" hidden="1">
      <c r="A1171" s="29"/>
      <c r="B1171" s="30"/>
      <c r="C1171" s="79"/>
      <c r="D1171" s="79"/>
      <c r="E1171" s="79"/>
      <c r="F1171" s="81" t="s">
        <v>239</v>
      </c>
      <c r="G1171" s="97"/>
      <c r="H1171" s="111"/>
      <c r="I1171" s="111"/>
      <c r="J1171" s="97"/>
      <c r="K1171" s="269"/>
      <c r="L1171" s="315"/>
      <c r="M1171" s="82"/>
      <c r="N1171" s="89"/>
      <c r="O1171" s="89"/>
      <c r="P1171" s="275"/>
      <c r="Q1171" s="448"/>
      <c r="R1171" s="448"/>
      <c r="S1171" s="465" t="e">
        <f t="shared" si="236"/>
        <v>#DIV/0!</v>
      </c>
    </row>
    <row r="1172" spans="1:19" ht="38.25" hidden="1">
      <c r="A1172" s="29" t="s">
        <v>162</v>
      </c>
      <c r="B1172" s="90" t="s">
        <v>340</v>
      </c>
      <c r="C1172" s="129" t="s">
        <v>472</v>
      </c>
      <c r="D1172" s="129" t="s">
        <v>198</v>
      </c>
      <c r="E1172" s="129" t="s">
        <v>424</v>
      </c>
      <c r="F1172" s="81"/>
      <c r="G1172" s="268">
        <f>G1174</f>
        <v>0</v>
      </c>
      <c r="H1172" s="268">
        <f>H1174</f>
        <v>0</v>
      </c>
      <c r="I1172" s="268">
        <f>I1174</f>
        <v>0</v>
      </c>
      <c r="J1172" s="268">
        <f>J1174</f>
        <v>122.669</v>
      </c>
      <c r="K1172" s="268">
        <f>K1174</f>
        <v>122.66900000000001</v>
      </c>
      <c r="L1172" s="313"/>
      <c r="M1172" s="75"/>
      <c r="N1172" s="96"/>
      <c r="O1172" s="96"/>
      <c r="P1172" s="287"/>
      <c r="Q1172" s="449"/>
      <c r="R1172" s="449"/>
      <c r="S1172" s="465" t="e">
        <f t="shared" si="236"/>
        <v>#DIV/0!</v>
      </c>
    </row>
    <row r="1173" spans="1:19" ht="42" customHeight="1">
      <c r="A1173" s="29" t="s">
        <v>162</v>
      </c>
      <c r="B1173" s="71" t="s">
        <v>340</v>
      </c>
      <c r="C1173" s="72" t="s">
        <v>472</v>
      </c>
      <c r="D1173" s="72" t="s">
        <v>198</v>
      </c>
      <c r="E1173" s="72" t="s">
        <v>424</v>
      </c>
      <c r="F1173" s="78"/>
      <c r="G1173" s="268">
        <f aca="true" t="shared" si="237" ref="G1173:R1173">G1174</f>
        <v>0</v>
      </c>
      <c r="H1173" s="268">
        <f t="shared" si="237"/>
        <v>0</v>
      </c>
      <c r="I1173" s="268">
        <f t="shared" si="237"/>
        <v>0</v>
      </c>
      <c r="J1173" s="268">
        <f t="shared" si="237"/>
        <v>122.669</v>
      </c>
      <c r="K1173" s="268">
        <f t="shared" si="237"/>
        <v>122.66900000000001</v>
      </c>
      <c r="L1173" s="268">
        <f t="shared" si="237"/>
        <v>0</v>
      </c>
      <c r="M1173" s="268">
        <f t="shared" si="237"/>
        <v>0</v>
      </c>
      <c r="N1173" s="268">
        <f t="shared" si="237"/>
        <v>122.66900000000001</v>
      </c>
      <c r="O1173" s="268">
        <f t="shared" si="237"/>
        <v>0</v>
      </c>
      <c r="P1173" s="268">
        <f t="shared" si="237"/>
        <v>0</v>
      </c>
      <c r="Q1173" s="449">
        <f t="shared" si="237"/>
        <v>122.66900000000001</v>
      </c>
      <c r="R1173" s="449">
        <f t="shared" si="237"/>
        <v>97.769</v>
      </c>
      <c r="S1173" s="465">
        <f t="shared" si="236"/>
        <v>79.70147306980574</v>
      </c>
    </row>
    <row r="1174" spans="1:19" ht="15.75" customHeight="1">
      <c r="A1174" s="213" t="s">
        <v>120</v>
      </c>
      <c r="B1174" s="214" t="s">
        <v>340</v>
      </c>
      <c r="C1174" s="91" t="s">
        <v>472</v>
      </c>
      <c r="D1174" s="91" t="s">
        <v>198</v>
      </c>
      <c r="E1174" s="91" t="s">
        <v>424</v>
      </c>
      <c r="F1174" s="81" t="s">
        <v>112</v>
      </c>
      <c r="G1174" s="269">
        <v>0</v>
      </c>
      <c r="H1174" s="269"/>
      <c r="I1174" s="269"/>
      <c r="J1174" s="269">
        <v>122.669</v>
      </c>
      <c r="K1174" s="269">
        <f aca="true" t="shared" si="238" ref="K1174:Q1174">K1175+K1176</f>
        <v>122.66900000000001</v>
      </c>
      <c r="L1174" s="269">
        <f t="shared" si="238"/>
        <v>0</v>
      </c>
      <c r="M1174" s="269">
        <f t="shared" si="238"/>
        <v>0</v>
      </c>
      <c r="N1174" s="269">
        <f t="shared" si="238"/>
        <v>122.66900000000001</v>
      </c>
      <c r="O1174" s="269">
        <f t="shared" si="238"/>
        <v>0</v>
      </c>
      <c r="P1174" s="269">
        <f t="shared" si="238"/>
        <v>0</v>
      </c>
      <c r="Q1174" s="448">
        <f t="shared" si="238"/>
        <v>122.66900000000001</v>
      </c>
      <c r="R1174" s="448">
        <v>97.769</v>
      </c>
      <c r="S1174" s="444">
        <f t="shared" si="236"/>
        <v>79.70147306980574</v>
      </c>
    </row>
    <row r="1175" spans="1:19" ht="14.25" customHeight="1" hidden="1">
      <c r="A1175" s="213"/>
      <c r="B1175" s="214"/>
      <c r="C1175" s="91"/>
      <c r="D1175" s="91"/>
      <c r="E1175" s="91"/>
      <c r="F1175" s="81" t="s">
        <v>236</v>
      </c>
      <c r="G1175" s="269"/>
      <c r="H1175" s="269"/>
      <c r="I1175" s="269"/>
      <c r="J1175" s="269"/>
      <c r="K1175" s="269">
        <v>67.569</v>
      </c>
      <c r="L1175" s="315"/>
      <c r="M1175" s="82"/>
      <c r="N1175" s="89">
        <f>K1175+L1175+M1175</f>
        <v>67.569</v>
      </c>
      <c r="O1175" s="89"/>
      <c r="P1175" s="275"/>
      <c r="Q1175" s="448">
        <f>N1175+O1175+P1175</f>
        <v>67.569</v>
      </c>
      <c r="R1175" s="448">
        <f>O1175+P1175+Q1175</f>
        <v>67.569</v>
      </c>
      <c r="S1175" s="465">
        <f t="shared" si="236"/>
        <v>100</v>
      </c>
    </row>
    <row r="1176" spans="1:19" ht="14.25" customHeight="1" hidden="1">
      <c r="A1176" s="213"/>
      <c r="B1176" s="214"/>
      <c r="C1176" s="91"/>
      <c r="D1176" s="91"/>
      <c r="E1176" s="91"/>
      <c r="F1176" s="81" t="s">
        <v>239</v>
      </c>
      <c r="G1176" s="269"/>
      <c r="H1176" s="269"/>
      <c r="I1176" s="269"/>
      <c r="J1176" s="269"/>
      <c r="K1176" s="269">
        <v>55.1</v>
      </c>
      <c r="L1176" s="315"/>
      <c r="M1176" s="82"/>
      <c r="N1176" s="89">
        <f>K1176+L1176+M1176</f>
        <v>55.1</v>
      </c>
      <c r="O1176" s="89"/>
      <c r="P1176" s="275"/>
      <c r="Q1176" s="448">
        <f>N1176+O1176+P1176</f>
        <v>55.1</v>
      </c>
      <c r="R1176" s="448">
        <f>O1176+P1176+Q1176</f>
        <v>55.1</v>
      </c>
      <c r="S1176" s="465">
        <f t="shared" si="236"/>
        <v>100</v>
      </c>
    </row>
    <row r="1177" spans="1:19" ht="25.5" customHeight="1">
      <c r="A1177" s="46" t="s">
        <v>176</v>
      </c>
      <c r="B1177" s="90" t="s">
        <v>340</v>
      </c>
      <c r="C1177" s="129" t="s">
        <v>472</v>
      </c>
      <c r="D1177" s="129" t="s">
        <v>198</v>
      </c>
      <c r="E1177" s="129" t="s">
        <v>13</v>
      </c>
      <c r="F1177" s="131"/>
      <c r="G1177" s="271">
        <f aca="true" t="shared" si="239" ref="G1177:R1177">G1178</f>
        <v>6000</v>
      </c>
      <c r="H1177" s="264" t="e">
        <f t="shared" si="239"/>
        <v>#REF!</v>
      </c>
      <c r="I1177" s="264" t="e">
        <f t="shared" si="239"/>
        <v>#REF!</v>
      </c>
      <c r="J1177" s="271">
        <f t="shared" si="239"/>
        <v>-2800</v>
      </c>
      <c r="K1177" s="287">
        <f t="shared" si="239"/>
        <v>3200</v>
      </c>
      <c r="L1177" s="287">
        <f t="shared" si="239"/>
        <v>-140</v>
      </c>
      <c r="M1177" s="287">
        <f t="shared" si="239"/>
        <v>0</v>
      </c>
      <c r="N1177" s="287">
        <f t="shared" si="239"/>
        <v>3060</v>
      </c>
      <c r="O1177" s="287">
        <f t="shared" si="239"/>
        <v>-2263</v>
      </c>
      <c r="P1177" s="287">
        <f t="shared" si="239"/>
        <v>1620.6</v>
      </c>
      <c r="Q1177" s="449">
        <f t="shared" si="239"/>
        <v>2417.6</v>
      </c>
      <c r="R1177" s="449">
        <f t="shared" si="239"/>
        <v>2394.38063</v>
      </c>
      <c r="S1177" s="465">
        <f t="shared" si="236"/>
        <v>99.03956940767704</v>
      </c>
    </row>
    <row r="1178" spans="1:19" ht="15.75" customHeight="1" thickBot="1">
      <c r="A1178" s="194" t="s">
        <v>120</v>
      </c>
      <c r="B1178" s="210" t="s">
        <v>340</v>
      </c>
      <c r="C1178" s="118" t="s">
        <v>472</v>
      </c>
      <c r="D1178" s="118" t="s">
        <v>198</v>
      </c>
      <c r="E1178" s="118" t="s">
        <v>13</v>
      </c>
      <c r="F1178" s="119" t="s">
        <v>112</v>
      </c>
      <c r="G1178" s="413">
        <v>6000</v>
      </c>
      <c r="H1178" s="277" t="e">
        <f>#REF!+H1179+H1180</f>
        <v>#REF!</v>
      </c>
      <c r="I1178" s="277" t="e">
        <f>#REF!+I1179+I1180</f>
        <v>#REF!</v>
      </c>
      <c r="J1178" s="413">
        <v>-2800</v>
      </c>
      <c r="K1178" s="291">
        <f>K1182+K1183+K1228</f>
        <v>3200</v>
      </c>
      <c r="L1178" s="291">
        <f>L1182+L1183+L1228</f>
        <v>-140</v>
      </c>
      <c r="M1178" s="291">
        <f>M1182+M1183+M1228</f>
        <v>0</v>
      </c>
      <c r="N1178" s="291">
        <f>N1182+N1183+N1227+N1228</f>
        <v>3060</v>
      </c>
      <c r="O1178" s="291">
        <f>O1182+O1183+O1227+O1228</f>
        <v>-2263</v>
      </c>
      <c r="P1178" s="291">
        <f>P1182+P1183+P1227+P1228</f>
        <v>1620.6</v>
      </c>
      <c r="Q1178" s="448">
        <f>Q1182+Q1183+Q1227+Q1228</f>
        <v>2417.6</v>
      </c>
      <c r="R1178" s="448">
        <v>2394.38063</v>
      </c>
      <c r="S1178" s="444">
        <f t="shared" si="236"/>
        <v>99.03956940767704</v>
      </c>
    </row>
    <row r="1179" spans="1:19" ht="12.75" hidden="1">
      <c r="A1179" s="29"/>
      <c r="B1179" s="30"/>
      <c r="C1179" s="79"/>
      <c r="D1179" s="79"/>
      <c r="E1179" s="79"/>
      <c r="F1179" s="81" t="s">
        <v>236</v>
      </c>
      <c r="G1179" s="412"/>
      <c r="H1179" s="401"/>
      <c r="I1179" s="401"/>
      <c r="J1179" s="412"/>
      <c r="K1179" s="280"/>
      <c r="L1179" s="331"/>
      <c r="M1179" s="137"/>
      <c r="N1179" s="102"/>
      <c r="O1179" s="102"/>
      <c r="P1179" s="280"/>
      <c r="Q1179" s="448"/>
      <c r="R1179" s="448"/>
      <c r="S1179" s="465" t="e">
        <f t="shared" si="236"/>
        <v>#DIV/0!</v>
      </c>
    </row>
    <row r="1180" spans="1:19" ht="12.75" hidden="1">
      <c r="A1180" s="29"/>
      <c r="B1180" s="30"/>
      <c r="C1180" s="79"/>
      <c r="D1180" s="79"/>
      <c r="E1180" s="79"/>
      <c r="F1180" s="81" t="s">
        <v>238</v>
      </c>
      <c r="G1180" s="218"/>
      <c r="H1180" s="219"/>
      <c r="I1180" s="219"/>
      <c r="J1180" s="218"/>
      <c r="K1180" s="269"/>
      <c r="L1180" s="315"/>
      <c r="M1180" s="82"/>
      <c r="N1180" s="89"/>
      <c r="O1180" s="89"/>
      <c r="P1180" s="275"/>
      <c r="Q1180" s="448"/>
      <c r="R1180" s="448"/>
      <c r="S1180" s="465" t="e">
        <f t="shared" si="236"/>
        <v>#DIV/0!</v>
      </c>
    </row>
    <row r="1181" spans="1:19" ht="28.5" hidden="1">
      <c r="A1181" s="59" t="s">
        <v>14</v>
      </c>
      <c r="B1181" s="188" t="s">
        <v>340</v>
      </c>
      <c r="C1181" s="189" t="s">
        <v>472</v>
      </c>
      <c r="D1181" s="189" t="s">
        <v>240</v>
      </c>
      <c r="E1181" s="189"/>
      <c r="F1181" s="191"/>
      <c r="G1181" s="354">
        <f>G1184+G1226</f>
        <v>5333.23776</v>
      </c>
      <c r="H1181" s="354">
        <f>H1184+H1226</f>
        <v>5058.198017600001</v>
      </c>
      <c r="I1181" s="354">
        <f>I1184+I1226</f>
        <v>5268.11300205128</v>
      </c>
      <c r="J1181" s="354">
        <f>J1184+J1226</f>
        <v>338.1</v>
      </c>
      <c r="K1181" s="355">
        <f>K1184+K1226</f>
        <v>5671.33776</v>
      </c>
      <c r="L1181" s="356"/>
      <c r="M1181" s="357"/>
      <c r="N1181" s="358"/>
      <c r="O1181" s="358"/>
      <c r="P1181" s="453"/>
      <c r="Q1181" s="455"/>
      <c r="R1181" s="455"/>
      <c r="S1181" s="465" t="e">
        <f t="shared" si="236"/>
        <v>#DIV/0!</v>
      </c>
    </row>
    <row r="1182" spans="1:19" ht="13.5" customHeight="1" hidden="1">
      <c r="A1182" s="443"/>
      <c r="B1182" s="361"/>
      <c r="C1182" s="362"/>
      <c r="D1182" s="362"/>
      <c r="E1182" s="362"/>
      <c r="F1182" s="363" t="s">
        <v>235</v>
      </c>
      <c r="G1182" s="364"/>
      <c r="H1182" s="364"/>
      <c r="I1182" s="364"/>
      <c r="J1182" s="364"/>
      <c r="K1182" s="158">
        <v>3100</v>
      </c>
      <c r="L1182" s="158">
        <v>-400</v>
      </c>
      <c r="M1182" s="158"/>
      <c r="N1182" s="158">
        <f>K1182+L1182+M1182</f>
        <v>2700</v>
      </c>
      <c r="O1182" s="158">
        <f>309-2572</f>
        <v>-2263</v>
      </c>
      <c r="P1182" s="294">
        <v>1158</v>
      </c>
      <c r="Q1182" s="448">
        <f>N1182+O1182+P1182</f>
        <v>1595</v>
      </c>
      <c r="R1182" s="448">
        <f>O1182+P1182+Q1182</f>
        <v>490</v>
      </c>
      <c r="S1182" s="465">
        <f t="shared" si="236"/>
        <v>30.721003134796238</v>
      </c>
    </row>
    <row r="1183" spans="1:19" ht="12.75" customHeight="1" hidden="1">
      <c r="A1183" s="443"/>
      <c r="B1183" s="361"/>
      <c r="C1183" s="362"/>
      <c r="D1183" s="362"/>
      <c r="E1183" s="362"/>
      <c r="F1183" s="363" t="s">
        <v>236</v>
      </c>
      <c r="G1183" s="364"/>
      <c r="H1183" s="364"/>
      <c r="I1183" s="364"/>
      <c r="J1183" s="364"/>
      <c r="K1183" s="158">
        <v>100</v>
      </c>
      <c r="L1183" s="158"/>
      <c r="M1183" s="158"/>
      <c r="N1183" s="158">
        <f>K1183+L1183+M1183</f>
        <v>100</v>
      </c>
      <c r="O1183" s="158"/>
      <c r="P1183" s="294"/>
      <c r="Q1183" s="448">
        <f>N1183+O1183+P1183</f>
        <v>100</v>
      </c>
      <c r="R1183" s="448">
        <f>O1183+P1183+Q1183</f>
        <v>100</v>
      </c>
      <c r="S1183" s="465">
        <f t="shared" si="236"/>
        <v>100</v>
      </c>
    </row>
    <row r="1184" spans="1:19" ht="38.25" hidden="1">
      <c r="A1184" s="29" t="s">
        <v>204</v>
      </c>
      <c r="B1184" s="30" t="s">
        <v>340</v>
      </c>
      <c r="C1184" s="31" t="s">
        <v>472</v>
      </c>
      <c r="D1184" s="31" t="s">
        <v>240</v>
      </c>
      <c r="E1184" s="31" t="s">
        <v>205</v>
      </c>
      <c r="F1184" s="32" t="s">
        <v>201</v>
      </c>
      <c r="G1184" s="257">
        <f aca="true" t="shared" si="240" ref="G1184:K1185">G1185</f>
        <v>0</v>
      </c>
      <c r="H1184" s="359">
        <f t="shared" si="240"/>
        <v>0</v>
      </c>
      <c r="I1184" s="359">
        <f t="shared" si="240"/>
        <v>0</v>
      </c>
      <c r="J1184" s="257">
        <f t="shared" si="240"/>
        <v>0</v>
      </c>
      <c r="K1184" s="281">
        <f t="shared" si="240"/>
        <v>0</v>
      </c>
      <c r="L1184" s="360"/>
      <c r="M1184" s="55"/>
      <c r="N1184" s="158">
        <f aca="true" t="shared" si="241" ref="N1184:R1228">K1184+L1184+M1184</f>
        <v>0</v>
      </c>
      <c r="O1184" s="158">
        <f t="shared" si="241"/>
        <v>0</v>
      </c>
      <c r="P1184" s="294">
        <f t="shared" si="241"/>
        <v>0</v>
      </c>
      <c r="Q1184" s="448">
        <f t="shared" si="241"/>
        <v>0</v>
      </c>
      <c r="R1184" s="448">
        <f t="shared" si="241"/>
        <v>0</v>
      </c>
      <c r="S1184" s="465" t="e">
        <f t="shared" si="236"/>
        <v>#DIV/0!</v>
      </c>
    </row>
    <row r="1185" spans="1:19" ht="1.5" customHeight="1" hidden="1" thickBot="1">
      <c r="A1185" s="46" t="s">
        <v>220</v>
      </c>
      <c r="B1185" s="71" t="s">
        <v>340</v>
      </c>
      <c r="C1185" s="72" t="s">
        <v>472</v>
      </c>
      <c r="D1185" s="72" t="s">
        <v>240</v>
      </c>
      <c r="E1185" s="72" t="s">
        <v>221</v>
      </c>
      <c r="F1185" s="74" t="s">
        <v>201</v>
      </c>
      <c r="G1185" s="96">
        <f t="shared" si="240"/>
        <v>0</v>
      </c>
      <c r="H1185" s="75">
        <f t="shared" si="240"/>
        <v>0</v>
      </c>
      <c r="I1185" s="75">
        <f t="shared" si="240"/>
        <v>0</v>
      </c>
      <c r="J1185" s="96">
        <f t="shared" si="240"/>
        <v>0</v>
      </c>
      <c r="K1185" s="287">
        <f t="shared" si="240"/>
        <v>0</v>
      </c>
      <c r="L1185" s="313"/>
      <c r="M1185" s="75"/>
      <c r="N1185" s="158">
        <f t="shared" si="241"/>
        <v>0</v>
      </c>
      <c r="O1185" s="158">
        <f t="shared" si="241"/>
        <v>0</v>
      </c>
      <c r="P1185" s="294">
        <f t="shared" si="241"/>
        <v>0</v>
      </c>
      <c r="Q1185" s="448">
        <f t="shared" si="241"/>
        <v>0</v>
      </c>
      <c r="R1185" s="448">
        <f t="shared" si="241"/>
        <v>0</v>
      </c>
      <c r="S1185" s="465" t="e">
        <f t="shared" si="236"/>
        <v>#DIV/0!</v>
      </c>
    </row>
    <row r="1186" spans="1:19" ht="15" customHeight="1" hidden="1" thickBot="1">
      <c r="A1186" s="109" t="s">
        <v>208</v>
      </c>
      <c r="B1186" s="99" t="s">
        <v>340</v>
      </c>
      <c r="C1186" s="100" t="s">
        <v>472</v>
      </c>
      <c r="D1186" s="100" t="s">
        <v>240</v>
      </c>
      <c r="E1186" s="100" t="s">
        <v>221</v>
      </c>
      <c r="F1186" s="101" t="s">
        <v>209</v>
      </c>
      <c r="G1186" s="102">
        <f>G1215+G1216+G1217+G1218+G1219+G1220+G1221+G1222+G1223+G1224+G1225</f>
        <v>0</v>
      </c>
      <c r="H1186" s="137">
        <f>H1215+H1216+H1217+H1218+H1219+H1220+H1221+H1222+H1223+H1224+H1225</f>
        <v>0</v>
      </c>
      <c r="I1186" s="137">
        <f>I1215+I1216+I1217+I1218+I1219+I1220+I1221+I1222+I1223+I1224+I1225</f>
        <v>0</v>
      </c>
      <c r="J1186" s="102">
        <f>J1215+J1216+J1217+J1218+J1219+J1220+J1221+J1222+J1223+J1224+J1225</f>
        <v>0</v>
      </c>
      <c r="K1186" s="280">
        <f>K1215+K1216+K1217+K1218+K1219+K1220+K1221+K1222+K1223+K1224+K1225</f>
        <v>0</v>
      </c>
      <c r="L1186" s="315"/>
      <c r="M1186" s="82"/>
      <c r="N1186" s="158">
        <f t="shared" si="241"/>
        <v>0</v>
      </c>
      <c r="O1186" s="158">
        <f t="shared" si="241"/>
        <v>0</v>
      </c>
      <c r="P1186" s="294">
        <f t="shared" si="241"/>
        <v>0</v>
      </c>
      <c r="Q1186" s="448">
        <f t="shared" si="241"/>
        <v>0</v>
      </c>
      <c r="R1186" s="448">
        <f t="shared" si="241"/>
        <v>0</v>
      </c>
      <c r="S1186" s="465" t="e">
        <f t="shared" si="236"/>
        <v>#DIV/0!</v>
      </c>
    </row>
    <row r="1187" spans="1:19" ht="12.75" customHeight="1" hidden="1" thickBot="1">
      <c r="A1187" s="46" t="s">
        <v>210</v>
      </c>
      <c r="B1187" s="71" t="s">
        <v>340</v>
      </c>
      <c r="C1187" s="76" t="s">
        <v>472</v>
      </c>
      <c r="D1187" s="76" t="s">
        <v>240</v>
      </c>
      <c r="E1187" s="76" t="s">
        <v>221</v>
      </c>
      <c r="F1187" s="78" t="s">
        <v>209</v>
      </c>
      <c r="G1187" s="96">
        <f>G1188+G1192+G1200</f>
        <v>2418</v>
      </c>
      <c r="H1187" s="75">
        <f>H1188+H1192+H1200</f>
        <v>2418</v>
      </c>
      <c r="I1187" s="75">
        <f>I1188+I1192+I1200</f>
        <v>2418</v>
      </c>
      <c r="J1187" s="96">
        <f>J1188+J1192+J1200</f>
        <v>2418</v>
      </c>
      <c r="K1187" s="287">
        <f>K1188+K1192+K1200</f>
        <v>2418</v>
      </c>
      <c r="L1187" s="313"/>
      <c r="M1187" s="75"/>
      <c r="N1187" s="158">
        <f t="shared" si="241"/>
        <v>2418</v>
      </c>
      <c r="O1187" s="158">
        <f t="shared" si="241"/>
        <v>2418</v>
      </c>
      <c r="P1187" s="294">
        <f t="shared" si="241"/>
        <v>4836</v>
      </c>
      <c r="Q1187" s="448">
        <f t="shared" si="241"/>
        <v>9672</v>
      </c>
      <c r="R1187" s="448">
        <f t="shared" si="241"/>
        <v>16926</v>
      </c>
      <c r="S1187" s="465">
        <f t="shared" si="236"/>
        <v>175</v>
      </c>
    </row>
    <row r="1188" spans="1:19" ht="12.75" hidden="1">
      <c r="A1188" s="46" t="s">
        <v>211</v>
      </c>
      <c r="B1188" s="71" t="s">
        <v>340</v>
      </c>
      <c r="C1188" s="76" t="s">
        <v>472</v>
      </c>
      <c r="D1188" s="76" t="s">
        <v>240</v>
      </c>
      <c r="E1188" s="76" t="s">
        <v>221</v>
      </c>
      <c r="F1188" s="78" t="s">
        <v>209</v>
      </c>
      <c r="G1188" s="96">
        <f>SUM(G1189:G1191)</f>
        <v>2348</v>
      </c>
      <c r="H1188" s="75">
        <f>SUM(H1189:H1191)</f>
        <v>2348</v>
      </c>
      <c r="I1188" s="75">
        <f>SUM(I1189:I1191)</f>
        <v>2348</v>
      </c>
      <c r="J1188" s="96">
        <f>SUM(J1189:J1191)</f>
        <v>2348</v>
      </c>
      <c r="K1188" s="287">
        <f>SUM(K1189:K1191)</f>
        <v>2348</v>
      </c>
      <c r="L1188" s="313"/>
      <c r="M1188" s="75"/>
      <c r="N1188" s="158">
        <f t="shared" si="241"/>
        <v>2348</v>
      </c>
      <c r="O1188" s="158">
        <f t="shared" si="241"/>
        <v>2348</v>
      </c>
      <c r="P1188" s="294">
        <f t="shared" si="241"/>
        <v>4696</v>
      </c>
      <c r="Q1188" s="448">
        <f t="shared" si="241"/>
        <v>9392</v>
      </c>
      <c r="R1188" s="448">
        <f t="shared" si="241"/>
        <v>16436</v>
      </c>
      <c r="S1188" s="465">
        <f t="shared" si="236"/>
        <v>175</v>
      </c>
    </row>
    <row r="1189" spans="1:19" ht="12.75" hidden="1">
      <c r="A1189" s="46" t="s">
        <v>212</v>
      </c>
      <c r="B1189" s="71" t="s">
        <v>340</v>
      </c>
      <c r="C1189" s="76" t="s">
        <v>472</v>
      </c>
      <c r="D1189" s="76" t="s">
        <v>240</v>
      </c>
      <c r="E1189" s="76" t="s">
        <v>221</v>
      </c>
      <c r="F1189" s="78" t="s">
        <v>209</v>
      </c>
      <c r="G1189" s="96">
        <v>1801</v>
      </c>
      <c r="H1189" s="75">
        <v>1801</v>
      </c>
      <c r="I1189" s="75">
        <v>1801</v>
      </c>
      <c r="J1189" s="96">
        <v>1801</v>
      </c>
      <c r="K1189" s="287">
        <v>1801</v>
      </c>
      <c r="L1189" s="313"/>
      <c r="M1189" s="75"/>
      <c r="N1189" s="158">
        <f t="shared" si="241"/>
        <v>1801</v>
      </c>
      <c r="O1189" s="158">
        <f t="shared" si="241"/>
        <v>1801</v>
      </c>
      <c r="P1189" s="294">
        <f t="shared" si="241"/>
        <v>3602</v>
      </c>
      <c r="Q1189" s="448">
        <f t="shared" si="241"/>
        <v>7204</v>
      </c>
      <c r="R1189" s="448">
        <f t="shared" si="241"/>
        <v>12607</v>
      </c>
      <c r="S1189" s="465">
        <f t="shared" si="236"/>
        <v>175</v>
      </c>
    </row>
    <row r="1190" spans="1:19" ht="12.75" hidden="1">
      <c r="A1190" s="46" t="s">
        <v>213</v>
      </c>
      <c r="B1190" s="71" t="s">
        <v>340</v>
      </c>
      <c r="C1190" s="76" t="s">
        <v>472</v>
      </c>
      <c r="D1190" s="76" t="s">
        <v>240</v>
      </c>
      <c r="E1190" s="76" t="s">
        <v>221</v>
      </c>
      <c r="F1190" s="78" t="s">
        <v>209</v>
      </c>
      <c r="G1190" s="96">
        <v>3</v>
      </c>
      <c r="H1190" s="75">
        <v>3</v>
      </c>
      <c r="I1190" s="75">
        <v>3</v>
      </c>
      <c r="J1190" s="96">
        <v>3</v>
      </c>
      <c r="K1190" s="287">
        <v>3</v>
      </c>
      <c r="L1190" s="313"/>
      <c r="M1190" s="75"/>
      <c r="N1190" s="158">
        <f t="shared" si="241"/>
        <v>3</v>
      </c>
      <c r="O1190" s="158">
        <f t="shared" si="241"/>
        <v>3</v>
      </c>
      <c r="P1190" s="294">
        <f t="shared" si="241"/>
        <v>6</v>
      </c>
      <c r="Q1190" s="448">
        <f t="shared" si="241"/>
        <v>12</v>
      </c>
      <c r="R1190" s="448">
        <f t="shared" si="241"/>
        <v>21</v>
      </c>
      <c r="S1190" s="465">
        <f t="shared" si="236"/>
        <v>175</v>
      </c>
    </row>
    <row r="1191" spans="1:19" ht="12.75" hidden="1">
      <c r="A1191" s="46" t="s">
        <v>214</v>
      </c>
      <c r="B1191" s="71" t="s">
        <v>340</v>
      </c>
      <c r="C1191" s="76" t="s">
        <v>472</v>
      </c>
      <c r="D1191" s="76" t="s">
        <v>240</v>
      </c>
      <c r="E1191" s="76" t="s">
        <v>221</v>
      </c>
      <c r="F1191" s="78" t="s">
        <v>209</v>
      </c>
      <c r="G1191" s="96">
        <v>544</v>
      </c>
      <c r="H1191" s="75">
        <v>544</v>
      </c>
      <c r="I1191" s="75">
        <v>544</v>
      </c>
      <c r="J1191" s="96">
        <v>544</v>
      </c>
      <c r="K1191" s="287">
        <v>544</v>
      </c>
      <c r="L1191" s="313"/>
      <c r="M1191" s="75"/>
      <c r="N1191" s="158">
        <f t="shared" si="241"/>
        <v>544</v>
      </c>
      <c r="O1191" s="158">
        <f t="shared" si="241"/>
        <v>544</v>
      </c>
      <c r="P1191" s="294">
        <f t="shared" si="241"/>
        <v>1088</v>
      </c>
      <c r="Q1191" s="448">
        <f t="shared" si="241"/>
        <v>2176</v>
      </c>
      <c r="R1191" s="448">
        <f t="shared" si="241"/>
        <v>3808</v>
      </c>
      <c r="S1191" s="465">
        <f t="shared" si="236"/>
        <v>175</v>
      </c>
    </row>
    <row r="1192" spans="1:19" ht="12.75" hidden="1">
      <c r="A1192" s="46" t="s">
        <v>222</v>
      </c>
      <c r="B1192" s="71" t="s">
        <v>340</v>
      </c>
      <c r="C1192" s="76" t="s">
        <v>472</v>
      </c>
      <c r="D1192" s="76" t="s">
        <v>240</v>
      </c>
      <c r="E1192" s="76" t="s">
        <v>221</v>
      </c>
      <c r="F1192" s="78" t="s">
        <v>209</v>
      </c>
      <c r="G1192" s="96">
        <f>SUM(G1193:G1198)</f>
        <v>69</v>
      </c>
      <c r="H1192" s="75">
        <f>SUM(H1193:H1198)</f>
        <v>69</v>
      </c>
      <c r="I1192" s="75">
        <f>SUM(I1193:I1198)</f>
        <v>69</v>
      </c>
      <c r="J1192" s="96">
        <f>SUM(J1193:J1198)</f>
        <v>69</v>
      </c>
      <c r="K1192" s="287">
        <f>SUM(K1193:K1198)</f>
        <v>69</v>
      </c>
      <c r="L1192" s="313"/>
      <c r="M1192" s="75"/>
      <c r="N1192" s="158">
        <f t="shared" si="241"/>
        <v>69</v>
      </c>
      <c r="O1192" s="158">
        <f t="shared" si="241"/>
        <v>69</v>
      </c>
      <c r="P1192" s="294">
        <f t="shared" si="241"/>
        <v>138</v>
      </c>
      <c r="Q1192" s="448">
        <f t="shared" si="241"/>
        <v>276</v>
      </c>
      <c r="R1192" s="448">
        <f t="shared" si="241"/>
        <v>483</v>
      </c>
      <c r="S1192" s="465">
        <f t="shared" si="236"/>
        <v>175</v>
      </c>
    </row>
    <row r="1193" spans="1:19" ht="12.75" hidden="1">
      <c r="A1193" s="46" t="s">
        <v>223</v>
      </c>
      <c r="B1193" s="71" t="s">
        <v>340</v>
      </c>
      <c r="C1193" s="76" t="s">
        <v>472</v>
      </c>
      <c r="D1193" s="76" t="s">
        <v>240</v>
      </c>
      <c r="E1193" s="76" t="s">
        <v>221</v>
      </c>
      <c r="F1193" s="78" t="s">
        <v>209</v>
      </c>
      <c r="G1193" s="96"/>
      <c r="H1193" s="75"/>
      <c r="I1193" s="75"/>
      <c r="J1193" s="96"/>
      <c r="K1193" s="287"/>
      <c r="L1193" s="313"/>
      <c r="M1193" s="75"/>
      <c r="N1193" s="158">
        <f t="shared" si="241"/>
        <v>0</v>
      </c>
      <c r="O1193" s="158">
        <f t="shared" si="241"/>
        <v>0</v>
      </c>
      <c r="P1193" s="294">
        <f t="shared" si="241"/>
        <v>0</v>
      </c>
      <c r="Q1193" s="448">
        <f t="shared" si="241"/>
        <v>0</v>
      </c>
      <c r="R1193" s="448">
        <f t="shared" si="241"/>
        <v>0</v>
      </c>
      <c r="S1193" s="465" t="e">
        <f t="shared" si="236"/>
        <v>#DIV/0!</v>
      </c>
    </row>
    <row r="1194" spans="1:19" ht="12.75" hidden="1">
      <c r="A1194" s="46" t="s">
        <v>224</v>
      </c>
      <c r="B1194" s="71" t="s">
        <v>340</v>
      </c>
      <c r="C1194" s="76" t="s">
        <v>472</v>
      </c>
      <c r="D1194" s="76" t="s">
        <v>240</v>
      </c>
      <c r="E1194" s="76" t="s">
        <v>221</v>
      </c>
      <c r="F1194" s="78" t="s">
        <v>209</v>
      </c>
      <c r="G1194" s="96">
        <v>1</v>
      </c>
      <c r="H1194" s="75">
        <v>1</v>
      </c>
      <c r="I1194" s="75">
        <v>1</v>
      </c>
      <c r="J1194" s="96">
        <v>1</v>
      </c>
      <c r="K1194" s="287">
        <v>1</v>
      </c>
      <c r="L1194" s="313"/>
      <c r="M1194" s="75"/>
      <c r="N1194" s="158">
        <f t="shared" si="241"/>
        <v>1</v>
      </c>
      <c r="O1194" s="158">
        <f t="shared" si="241"/>
        <v>1</v>
      </c>
      <c r="P1194" s="294">
        <f t="shared" si="241"/>
        <v>2</v>
      </c>
      <c r="Q1194" s="448">
        <f t="shared" si="241"/>
        <v>4</v>
      </c>
      <c r="R1194" s="448">
        <f t="shared" si="241"/>
        <v>7</v>
      </c>
      <c r="S1194" s="465">
        <f t="shared" si="236"/>
        <v>175</v>
      </c>
    </row>
    <row r="1195" spans="1:19" ht="12.75" hidden="1">
      <c r="A1195" s="46" t="s">
        <v>242</v>
      </c>
      <c r="B1195" s="71" t="s">
        <v>340</v>
      </c>
      <c r="C1195" s="76" t="s">
        <v>472</v>
      </c>
      <c r="D1195" s="76" t="s">
        <v>240</v>
      </c>
      <c r="E1195" s="76" t="s">
        <v>221</v>
      </c>
      <c r="F1195" s="78" t="s">
        <v>209</v>
      </c>
      <c r="G1195" s="96"/>
      <c r="H1195" s="75"/>
      <c r="I1195" s="75"/>
      <c r="J1195" s="96"/>
      <c r="K1195" s="287"/>
      <c r="L1195" s="313"/>
      <c r="M1195" s="75"/>
      <c r="N1195" s="158">
        <f t="shared" si="241"/>
        <v>0</v>
      </c>
      <c r="O1195" s="158">
        <f t="shared" si="241"/>
        <v>0</v>
      </c>
      <c r="P1195" s="294">
        <f t="shared" si="241"/>
        <v>0</v>
      </c>
      <c r="Q1195" s="448">
        <f t="shared" si="241"/>
        <v>0</v>
      </c>
      <c r="R1195" s="448">
        <f t="shared" si="241"/>
        <v>0</v>
      </c>
      <c r="S1195" s="465" t="e">
        <f t="shared" si="236"/>
        <v>#DIV/0!</v>
      </c>
    </row>
    <row r="1196" spans="1:19" ht="12.75" hidden="1">
      <c r="A1196" s="46" t="s">
        <v>243</v>
      </c>
      <c r="B1196" s="71" t="s">
        <v>340</v>
      </c>
      <c r="C1196" s="76" t="s">
        <v>472</v>
      </c>
      <c r="D1196" s="76" t="s">
        <v>240</v>
      </c>
      <c r="E1196" s="76" t="s">
        <v>221</v>
      </c>
      <c r="F1196" s="78" t="s">
        <v>209</v>
      </c>
      <c r="G1196" s="96"/>
      <c r="H1196" s="75"/>
      <c r="I1196" s="75"/>
      <c r="J1196" s="96"/>
      <c r="K1196" s="287"/>
      <c r="L1196" s="313"/>
      <c r="M1196" s="75"/>
      <c r="N1196" s="158">
        <f t="shared" si="241"/>
        <v>0</v>
      </c>
      <c r="O1196" s="158">
        <f t="shared" si="241"/>
        <v>0</v>
      </c>
      <c r="P1196" s="294">
        <f t="shared" si="241"/>
        <v>0</v>
      </c>
      <c r="Q1196" s="448">
        <f t="shared" si="241"/>
        <v>0</v>
      </c>
      <c r="R1196" s="448">
        <f t="shared" si="241"/>
        <v>0</v>
      </c>
      <c r="S1196" s="465" t="e">
        <f t="shared" si="236"/>
        <v>#DIV/0!</v>
      </c>
    </row>
    <row r="1197" spans="1:19" ht="12.75" hidden="1">
      <c r="A1197" s="46" t="s">
        <v>225</v>
      </c>
      <c r="B1197" s="71" t="s">
        <v>340</v>
      </c>
      <c r="C1197" s="76" t="s">
        <v>472</v>
      </c>
      <c r="D1197" s="76" t="s">
        <v>240</v>
      </c>
      <c r="E1197" s="76" t="s">
        <v>221</v>
      </c>
      <c r="F1197" s="78" t="s">
        <v>209</v>
      </c>
      <c r="G1197" s="96"/>
      <c r="H1197" s="75"/>
      <c r="I1197" s="75"/>
      <c r="J1197" s="96"/>
      <c r="K1197" s="287"/>
      <c r="L1197" s="313"/>
      <c r="M1197" s="75"/>
      <c r="N1197" s="158">
        <f t="shared" si="241"/>
        <v>0</v>
      </c>
      <c r="O1197" s="158">
        <f t="shared" si="241"/>
        <v>0</v>
      </c>
      <c r="P1197" s="294">
        <f t="shared" si="241"/>
        <v>0</v>
      </c>
      <c r="Q1197" s="448">
        <f t="shared" si="241"/>
        <v>0</v>
      </c>
      <c r="R1197" s="448">
        <f t="shared" si="241"/>
        <v>0</v>
      </c>
      <c r="S1197" s="465" t="e">
        <f t="shared" si="236"/>
        <v>#DIV/0!</v>
      </c>
    </row>
    <row r="1198" spans="1:19" ht="12.75" hidden="1">
      <c r="A1198" s="46" t="s">
        <v>226</v>
      </c>
      <c r="B1198" s="71" t="s">
        <v>340</v>
      </c>
      <c r="C1198" s="76" t="s">
        <v>472</v>
      </c>
      <c r="D1198" s="76" t="s">
        <v>240</v>
      </c>
      <c r="E1198" s="76" t="s">
        <v>221</v>
      </c>
      <c r="F1198" s="78" t="s">
        <v>209</v>
      </c>
      <c r="G1198" s="96">
        <v>68</v>
      </c>
      <c r="H1198" s="75">
        <v>68</v>
      </c>
      <c r="I1198" s="75">
        <v>68</v>
      </c>
      <c r="J1198" s="96">
        <v>68</v>
      </c>
      <c r="K1198" s="287">
        <v>68</v>
      </c>
      <c r="L1198" s="313"/>
      <c r="M1198" s="75"/>
      <c r="N1198" s="158">
        <f t="shared" si="241"/>
        <v>68</v>
      </c>
      <c r="O1198" s="158">
        <f t="shared" si="241"/>
        <v>68</v>
      </c>
      <c r="P1198" s="294">
        <f t="shared" si="241"/>
        <v>136</v>
      </c>
      <c r="Q1198" s="448">
        <f t="shared" si="241"/>
        <v>272</v>
      </c>
      <c r="R1198" s="448">
        <f t="shared" si="241"/>
        <v>476</v>
      </c>
      <c r="S1198" s="465">
        <f t="shared" si="236"/>
        <v>175</v>
      </c>
    </row>
    <row r="1199" spans="1:19" ht="12.75" hidden="1">
      <c r="A1199" s="46" t="s">
        <v>386</v>
      </c>
      <c r="B1199" s="71" t="s">
        <v>340</v>
      </c>
      <c r="C1199" s="76" t="s">
        <v>472</v>
      </c>
      <c r="D1199" s="76" t="s">
        <v>240</v>
      </c>
      <c r="E1199" s="76" t="s">
        <v>221</v>
      </c>
      <c r="F1199" s="78" t="s">
        <v>209</v>
      </c>
      <c r="G1199" s="96"/>
      <c r="H1199" s="75"/>
      <c r="I1199" s="75"/>
      <c r="J1199" s="96"/>
      <c r="K1199" s="287"/>
      <c r="L1199" s="313"/>
      <c r="M1199" s="75"/>
      <c r="N1199" s="158">
        <f t="shared" si="241"/>
        <v>0</v>
      </c>
      <c r="O1199" s="158">
        <f t="shared" si="241"/>
        <v>0</v>
      </c>
      <c r="P1199" s="294">
        <f t="shared" si="241"/>
        <v>0</v>
      </c>
      <c r="Q1199" s="448">
        <f t="shared" si="241"/>
        <v>0</v>
      </c>
      <c r="R1199" s="448">
        <f t="shared" si="241"/>
        <v>0</v>
      </c>
      <c r="S1199" s="465" t="e">
        <f t="shared" si="236"/>
        <v>#DIV/0!</v>
      </c>
    </row>
    <row r="1200" spans="1:19" ht="12.75" hidden="1">
      <c r="A1200" s="46" t="s">
        <v>227</v>
      </c>
      <c r="B1200" s="71" t="s">
        <v>340</v>
      </c>
      <c r="C1200" s="76" t="s">
        <v>472</v>
      </c>
      <c r="D1200" s="76" t="s">
        <v>240</v>
      </c>
      <c r="E1200" s="76" t="s">
        <v>221</v>
      </c>
      <c r="F1200" s="78" t="s">
        <v>209</v>
      </c>
      <c r="G1200" s="96">
        <v>1</v>
      </c>
      <c r="H1200" s="75">
        <v>1</v>
      </c>
      <c r="I1200" s="75">
        <v>1</v>
      </c>
      <c r="J1200" s="96">
        <v>1</v>
      </c>
      <c r="K1200" s="287">
        <v>1</v>
      </c>
      <c r="L1200" s="313"/>
      <c r="M1200" s="75"/>
      <c r="N1200" s="158">
        <f t="shared" si="241"/>
        <v>1</v>
      </c>
      <c r="O1200" s="158">
        <f t="shared" si="241"/>
        <v>1</v>
      </c>
      <c r="P1200" s="294">
        <f t="shared" si="241"/>
        <v>2</v>
      </c>
      <c r="Q1200" s="448">
        <f t="shared" si="241"/>
        <v>4</v>
      </c>
      <c r="R1200" s="448">
        <f t="shared" si="241"/>
        <v>7</v>
      </c>
      <c r="S1200" s="465">
        <f t="shared" si="236"/>
        <v>175</v>
      </c>
    </row>
    <row r="1201" spans="1:19" ht="12.75" hidden="1">
      <c r="A1201" s="46" t="s">
        <v>228</v>
      </c>
      <c r="B1201" s="71" t="s">
        <v>340</v>
      </c>
      <c r="C1201" s="76" t="s">
        <v>472</v>
      </c>
      <c r="D1201" s="76" t="s">
        <v>240</v>
      </c>
      <c r="E1201" s="76" t="s">
        <v>221</v>
      </c>
      <c r="F1201" s="78" t="s">
        <v>209</v>
      </c>
      <c r="G1201" s="96">
        <f>G1202+G1207</f>
        <v>58</v>
      </c>
      <c r="H1201" s="75">
        <f>H1202+H1207</f>
        <v>58</v>
      </c>
      <c r="I1201" s="75">
        <f>I1202+I1207</f>
        <v>58</v>
      </c>
      <c r="J1201" s="96">
        <f>J1202+J1207</f>
        <v>58</v>
      </c>
      <c r="K1201" s="287">
        <f>K1202+K1207</f>
        <v>58</v>
      </c>
      <c r="L1201" s="313"/>
      <c r="M1201" s="75"/>
      <c r="N1201" s="158">
        <f t="shared" si="241"/>
        <v>58</v>
      </c>
      <c r="O1201" s="158">
        <f t="shared" si="241"/>
        <v>58</v>
      </c>
      <c r="P1201" s="294">
        <f t="shared" si="241"/>
        <v>116</v>
      </c>
      <c r="Q1201" s="448">
        <f t="shared" si="241"/>
        <v>232</v>
      </c>
      <c r="R1201" s="448">
        <f t="shared" si="241"/>
        <v>406</v>
      </c>
      <c r="S1201" s="465">
        <f t="shared" si="236"/>
        <v>175</v>
      </c>
    </row>
    <row r="1202" spans="1:19" ht="12.75" hidden="1">
      <c r="A1202" s="46" t="s">
        <v>229</v>
      </c>
      <c r="B1202" s="71" t="s">
        <v>340</v>
      </c>
      <c r="C1202" s="76" t="s">
        <v>472</v>
      </c>
      <c r="D1202" s="76" t="s">
        <v>240</v>
      </c>
      <c r="E1202" s="76" t="s">
        <v>221</v>
      </c>
      <c r="F1202" s="78" t="s">
        <v>209</v>
      </c>
      <c r="G1202" s="96">
        <v>24</v>
      </c>
      <c r="H1202" s="75">
        <v>24</v>
      </c>
      <c r="I1202" s="75">
        <v>24</v>
      </c>
      <c r="J1202" s="96">
        <v>24</v>
      </c>
      <c r="K1202" s="287">
        <v>24</v>
      </c>
      <c r="L1202" s="313"/>
      <c r="M1202" s="75"/>
      <c r="N1202" s="158">
        <f t="shared" si="241"/>
        <v>24</v>
      </c>
      <c r="O1202" s="158">
        <f t="shared" si="241"/>
        <v>24</v>
      </c>
      <c r="P1202" s="294">
        <f t="shared" si="241"/>
        <v>48</v>
      </c>
      <c r="Q1202" s="448">
        <f t="shared" si="241"/>
        <v>96</v>
      </c>
      <c r="R1202" s="448">
        <f t="shared" si="241"/>
        <v>168</v>
      </c>
      <c r="S1202" s="465">
        <f t="shared" si="236"/>
        <v>175</v>
      </c>
    </row>
    <row r="1203" spans="1:19" ht="12" customHeight="1" hidden="1">
      <c r="A1203" s="46" t="s">
        <v>230</v>
      </c>
      <c r="B1203" s="71" t="s">
        <v>340</v>
      </c>
      <c r="C1203" s="76" t="s">
        <v>472</v>
      </c>
      <c r="D1203" s="76" t="s">
        <v>240</v>
      </c>
      <c r="E1203" s="76" t="s">
        <v>221</v>
      </c>
      <c r="F1203" s="78" t="s">
        <v>209</v>
      </c>
      <c r="G1203" s="96"/>
      <c r="H1203" s="75"/>
      <c r="I1203" s="75"/>
      <c r="J1203" s="96"/>
      <c r="K1203" s="287"/>
      <c r="L1203" s="313"/>
      <c r="M1203" s="75"/>
      <c r="N1203" s="158">
        <f t="shared" si="241"/>
        <v>0</v>
      </c>
      <c r="O1203" s="158">
        <f t="shared" si="241"/>
        <v>0</v>
      </c>
      <c r="P1203" s="294">
        <f t="shared" si="241"/>
        <v>0</v>
      </c>
      <c r="Q1203" s="448">
        <f t="shared" si="241"/>
        <v>0</v>
      </c>
      <c r="R1203" s="448">
        <f t="shared" si="241"/>
        <v>0</v>
      </c>
      <c r="S1203" s="465" t="e">
        <f t="shared" si="236"/>
        <v>#DIV/0!</v>
      </c>
    </row>
    <row r="1204" spans="1:19" ht="12.75" customHeight="1" hidden="1">
      <c r="A1204" s="46" t="s">
        <v>3</v>
      </c>
      <c r="B1204" s="71" t="s">
        <v>202</v>
      </c>
      <c r="C1204" s="72" t="s">
        <v>472</v>
      </c>
      <c r="D1204" s="76" t="s">
        <v>240</v>
      </c>
      <c r="E1204" s="72" t="s">
        <v>15</v>
      </c>
      <c r="F1204" s="74" t="s">
        <v>201</v>
      </c>
      <c r="G1204" s="96"/>
      <c r="H1204" s="75"/>
      <c r="I1204" s="75"/>
      <c r="J1204" s="96"/>
      <c r="K1204" s="287"/>
      <c r="L1204" s="313"/>
      <c r="M1204" s="75"/>
      <c r="N1204" s="158">
        <f t="shared" si="241"/>
        <v>0</v>
      </c>
      <c r="O1204" s="158">
        <f t="shared" si="241"/>
        <v>0</v>
      </c>
      <c r="P1204" s="294">
        <f t="shared" si="241"/>
        <v>0</v>
      </c>
      <c r="Q1204" s="448">
        <f t="shared" si="241"/>
        <v>0</v>
      </c>
      <c r="R1204" s="448">
        <f t="shared" si="241"/>
        <v>0</v>
      </c>
      <c r="S1204" s="465" t="e">
        <f t="shared" si="236"/>
        <v>#DIV/0!</v>
      </c>
    </row>
    <row r="1205" spans="1:19" ht="37.5" customHeight="1" hidden="1">
      <c r="A1205" s="46" t="s">
        <v>0</v>
      </c>
      <c r="B1205" s="71" t="s">
        <v>202</v>
      </c>
      <c r="C1205" s="72" t="s">
        <v>472</v>
      </c>
      <c r="D1205" s="76" t="s">
        <v>240</v>
      </c>
      <c r="E1205" s="72" t="s">
        <v>15</v>
      </c>
      <c r="F1205" s="74" t="s">
        <v>16</v>
      </c>
      <c r="G1205" s="96"/>
      <c r="H1205" s="75"/>
      <c r="I1205" s="75"/>
      <c r="J1205" s="96"/>
      <c r="K1205" s="287"/>
      <c r="L1205" s="313"/>
      <c r="M1205" s="75"/>
      <c r="N1205" s="158">
        <f t="shared" si="241"/>
        <v>0</v>
      </c>
      <c r="O1205" s="158">
        <f t="shared" si="241"/>
        <v>0</v>
      </c>
      <c r="P1205" s="294">
        <f t="shared" si="241"/>
        <v>0</v>
      </c>
      <c r="Q1205" s="448">
        <f t="shared" si="241"/>
        <v>0</v>
      </c>
      <c r="R1205" s="448">
        <f t="shared" si="241"/>
        <v>0</v>
      </c>
      <c r="S1205" s="465" t="e">
        <f t="shared" si="236"/>
        <v>#DIV/0!</v>
      </c>
    </row>
    <row r="1206" spans="1:19" ht="37.5" customHeight="1" hidden="1">
      <c r="A1206" s="46" t="s">
        <v>386</v>
      </c>
      <c r="B1206" s="71" t="s">
        <v>202</v>
      </c>
      <c r="C1206" s="72" t="s">
        <v>472</v>
      </c>
      <c r="D1206" s="76" t="s">
        <v>240</v>
      </c>
      <c r="E1206" s="72" t="s">
        <v>15</v>
      </c>
      <c r="F1206" s="74" t="s">
        <v>16</v>
      </c>
      <c r="G1206" s="96"/>
      <c r="H1206" s="75"/>
      <c r="I1206" s="75"/>
      <c r="J1206" s="96"/>
      <c r="K1206" s="287"/>
      <c r="L1206" s="313"/>
      <c r="M1206" s="75"/>
      <c r="N1206" s="158">
        <f t="shared" si="241"/>
        <v>0</v>
      </c>
      <c r="O1206" s="158">
        <f t="shared" si="241"/>
        <v>0</v>
      </c>
      <c r="P1206" s="294">
        <f t="shared" si="241"/>
        <v>0</v>
      </c>
      <c r="Q1206" s="448">
        <f t="shared" si="241"/>
        <v>0</v>
      </c>
      <c r="R1206" s="448">
        <f t="shared" si="241"/>
        <v>0</v>
      </c>
      <c r="S1206" s="465" t="e">
        <f t="shared" si="236"/>
        <v>#DIV/0!</v>
      </c>
    </row>
    <row r="1207" spans="1:19" ht="17.25" customHeight="1" hidden="1">
      <c r="A1207" s="46" t="s">
        <v>17</v>
      </c>
      <c r="B1207" s="141" t="s">
        <v>340</v>
      </c>
      <c r="C1207" s="76" t="s">
        <v>472</v>
      </c>
      <c r="D1207" s="76" t="s">
        <v>240</v>
      </c>
      <c r="E1207" s="76" t="s">
        <v>221</v>
      </c>
      <c r="F1207" s="78" t="s">
        <v>209</v>
      </c>
      <c r="G1207" s="96">
        <v>34</v>
      </c>
      <c r="H1207" s="75">
        <v>34</v>
      </c>
      <c r="I1207" s="75">
        <v>34</v>
      </c>
      <c r="J1207" s="96">
        <v>34</v>
      </c>
      <c r="K1207" s="287">
        <v>34</v>
      </c>
      <c r="L1207" s="313"/>
      <c r="M1207" s="75"/>
      <c r="N1207" s="158">
        <f t="shared" si="241"/>
        <v>34</v>
      </c>
      <c r="O1207" s="158">
        <f t="shared" si="241"/>
        <v>34</v>
      </c>
      <c r="P1207" s="294">
        <f t="shared" si="241"/>
        <v>68</v>
      </c>
      <c r="Q1207" s="448">
        <f t="shared" si="241"/>
        <v>136</v>
      </c>
      <c r="R1207" s="448">
        <f t="shared" si="241"/>
        <v>238</v>
      </c>
      <c r="S1207" s="465">
        <f t="shared" si="236"/>
        <v>175</v>
      </c>
    </row>
    <row r="1208" spans="1:19" ht="17.25" customHeight="1" hidden="1">
      <c r="A1208" s="105" t="s">
        <v>455</v>
      </c>
      <c r="B1208" s="71" t="s">
        <v>340</v>
      </c>
      <c r="C1208" s="76" t="s">
        <v>472</v>
      </c>
      <c r="D1208" s="76" t="s">
        <v>240</v>
      </c>
      <c r="E1208" s="76" t="s">
        <v>456</v>
      </c>
      <c r="F1208" s="78" t="s">
        <v>399</v>
      </c>
      <c r="G1208" s="96">
        <f>G1211</f>
        <v>0</v>
      </c>
      <c r="H1208" s="75">
        <f>H1211</f>
        <v>0</v>
      </c>
      <c r="I1208" s="75">
        <f>I1211</f>
        <v>0</v>
      </c>
      <c r="J1208" s="96">
        <f>J1211</f>
        <v>0</v>
      </c>
      <c r="K1208" s="287">
        <f>K1211</f>
        <v>0</v>
      </c>
      <c r="L1208" s="313"/>
      <c r="M1208" s="75"/>
      <c r="N1208" s="158">
        <f t="shared" si="241"/>
        <v>0</v>
      </c>
      <c r="O1208" s="158">
        <f t="shared" si="241"/>
        <v>0</v>
      </c>
      <c r="P1208" s="294">
        <f t="shared" si="241"/>
        <v>0</v>
      </c>
      <c r="Q1208" s="448">
        <f t="shared" si="241"/>
        <v>0</v>
      </c>
      <c r="R1208" s="448">
        <f t="shared" si="241"/>
        <v>0</v>
      </c>
      <c r="S1208" s="465" t="e">
        <f t="shared" si="236"/>
        <v>#DIV/0!</v>
      </c>
    </row>
    <row r="1209" spans="1:19" ht="12.75" hidden="1">
      <c r="A1209" s="46"/>
      <c r="B1209" s="71" t="s">
        <v>340</v>
      </c>
      <c r="C1209" s="76" t="s">
        <v>472</v>
      </c>
      <c r="D1209" s="76" t="s">
        <v>240</v>
      </c>
      <c r="E1209" s="76" t="s">
        <v>456</v>
      </c>
      <c r="F1209" s="78" t="s">
        <v>399</v>
      </c>
      <c r="G1209" s="96"/>
      <c r="H1209" s="75"/>
      <c r="I1209" s="75"/>
      <c r="J1209" s="96"/>
      <c r="K1209" s="287"/>
      <c r="L1209" s="313"/>
      <c r="M1209" s="75"/>
      <c r="N1209" s="158">
        <f t="shared" si="241"/>
        <v>0</v>
      </c>
      <c r="O1209" s="158">
        <f t="shared" si="241"/>
        <v>0</v>
      </c>
      <c r="P1209" s="294">
        <f t="shared" si="241"/>
        <v>0</v>
      </c>
      <c r="Q1209" s="448">
        <f t="shared" si="241"/>
        <v>0</v>
      </c>
      <c r="R1209" s="448">
        <f t="shared" si="241"/>
        <v>0</v>
      </c>
      <c r="S1209" s="465" t="e">
        <f t="shared" si="236"/>
        <v>#DIV/0!</v>
      </c>
    </row>
    <row r="1210" spans="1:19" ht="17.25" customHeight="1" hidden="1">
      <c r="A1210" s="46"/>
      <c r="B1210" s="71" t="s">
        <v>340</v>
      </c>
      <c r="C1210" s="76" t="s">
        <v>472</v>
      </c>
      <c r="D1210" s="76" t="s">
        <v>240</v>
      </c>
      <c r="E1210" s="76" t="s">
        <v>456</v>
      </c>
      <c r="F1210" s="78" t="s">
        <v>399</v>
      </c>
      <c r="G1210" s="96"/>
      <c r="H1210" s="75"/>
      <c r="I1210" s="75"/>
      <c r="J1210" s="96"/>
      <c r="K1210" s="287"/>
      <c r="L1210" s="313"/>
      <c r="M1210" s="75"/>
      <c r="N1210" s="158">
        <f t="shared" si="241"/>
        <v>0</v>
      </c>
      <c r="O1210" s="158">
        <f t="shared" si="241"/>
        <v>0</v>
      </c>
      <c r="P1210" s="294">
        <f t="shared" si="241"/>
        <v>0</v>
      </c>
      <c r="Q1210" s="448">
        <f t="shared" si="241"/>
        <v>0</v>
      </c>
      <c r="R1210" s="448">
        <f t="shared" si="241"/>
        <v>0</v>
      </c>
      <c r="S1210" s="465" t="e">
        <f t="shared" si="236"/>
        <v>#DIV/0!</v>
      </c>
    </row>
    <row r="1211" spans="1:19" ht="17.25" customHeight="1" hidden="1">
      <c r="A1211" s="46" t="s">
        <v>208</v>
      </c>
      <c r="B1211" s="71" t="s">
        <v>340</v>
      </c>
      <c r="C1211" s="76" t="s">
        <v>472</v>
      </c>
      <c r="D1211" s="76" t="s">
        <v>240</v>
      </c>
      <c r="E1211" s="76" t="s">
        <v>456</v>
      </c>
      <c r="F1211" s="78" t="s">
        <v>399</v>
      </c>
      <c r="G1211" s="96">
        <f aca="true" t="shared" si="242" ref="G1211:K1213">G1212</f>
        <v>0</v>
      </c>
      <c r="H1211" s="75">
        <f t="shared" si="242"/>
        <v>0</v>
      </c>
      <c r="I1211" s="75">
        <f t="shared" si="242"/>
        <v>0</v>
      </c>
      <c r="J1211" s="96">
        <f t="shared" si="242"/>
        <v>0</v>
      </c>
      <c r="K1211" s="287">
        <f t="shared" si="242"/>
        <v>0</v>
      </c>
      <c r="L1211" s="313"/>
      <c r="M1211" s="75"/>
      <c r="N1211" s="158">
        <f t="shared" si="241"/>
        <v>0</v>
      </c>
      <c r="O1211" s="158">
        <f t="shared" si="241"/>
        <v>0</v>
      </c>
      <c r="P1211" s="294">
        <f t="shared" si="241"/>
        <v>0</v>
      </c>
      <c r="Q1211" s="448">
        <f t="shared" si="241"/>
        <v>0</v>
      </c>
      <c r="R1211" s="448">
        <f t="shared" si="241"/>
        <v>0</v>
      </c>
      <c r="S1211" s="465" t="e">
        <f t="shared" si="236"/>
        <v>#DIV/0!</v>
      </c>
    </row>
    <row r="1212" spans="1:19" ht="17.25" customHeight="1" hidden="1">
      <c r="A1212" s="46" t="s">
        <v>210</v>
      </c>
      <c r="B1212" s="71" t="s">
        <v>340</v>
      </c>
      <c r="C1212" s="76" t="s">
        <v>472</v>
      </c>
      <c r="D1212" s="76" t="s">
        <v>240</v>
      </c>
      <c r="E1212" s="76" t="s">
        <v>456</v>
      </c>
      <c r="F1212" s="78" t="s">
        <v>399</v>
      </c>
      <c r="G1212" s="96">
        <f t="shared" si="242"/>
        <v>0</v>
      </c>
      <c r="H1212" s="75">
        <f t="shared" si="242"/>
        <v>0</v>
      </c>
      <c r="I1212" s="75">
        <f t="shared" si="242"/>
        <v>0</v>
      </c>
      <c r="J1212" s="96">
        <f t="shared" si="242"/>
        <v>0</v>
      </c>
      <c r="K1212" s="287">
        <f t="shared" si="242"/>
        <v>0</v>
      </c>
      <c r="L1212" s="313"/>
      <c r="M1212" s="75"/>
      <c r="N1212" s="158">
        <f t="shared" si="241"/>
        <v>0</v>
      </c>
      <c r="O1212" s="158">
        <f t="shared" si="241"/>
        <v>0</v>
      </c>
      <c r="P1212" s="294">
        <f t="shared" si="241"/>
        <v>0</v>
      </c>
      <c r="Q1212" s="448">
        <f t="shared" si="241"/>
        <v>0</v>
      </c>
      <c r="R1212" s="448">
        <f t="shared" si="241"/>
        <v>0</v>
      </c>
      <c r="S1212" s="465" t="e">
        <f t="shared" si="236"/>
        <v>#DIV/0!</v>
      </c>
    </row>
    <row r="1213" spans="1:19" ht="17.25" customHeight="1" hidden="1">
      <c r="A1213" s="46" t="s">
        <v>211</v>
      </c>
      <c r="B1213" s="71" t="s">
        <v>340</v>
      </c>
      <c r="C1213" s="76" t="s">
        <v>472</v>
      </c>
      <c r="D1213" s="76" t="s">
        <v>240</v>
      </c>
      <c r="E1213" s="76" t="s">
        <v>456</v>
      </c>
      <c r="F1213" s="78" t="s">
        <v>399</v>
      </c>
      <c r="G1213" s="96">
        <f t="shared" si="242"/>
        <v>0</v>
      </c>
      <c r="H1213" s="75">
        <f t="shared" si="242"/>
        <v>0</v>
      </c>
      <c r="I1213" s="75">
        <f t="shared" si="242"/>
        <v>0</v>
      </c>
      <c r="J1213" s="96">
        <f t="shared" si="242"/>
        <v>0</v>
      </c>
      <c r="K1213" s="287">
        <f t="shared" si="242"/>
        <v>0</v>
      </c>
      <c r="L1213" s="313"/>
      <c r="M1213" s="75"/>
      <c r="N1213" s="158">
        <f t="shared" si="241"/>
        <v>0</v>
      </c>
      <c r="O1213" s="158">
        <f t="shared" si="241"/>
        <v>0</v>
      </c>
      <c r="P1213" s="294">
        <f t="shared" si="241"/>
        <v>0</v>
      </c>
      <c r="Q1213" s="448">
        <f t="shared" si="241"/>
        <v>0</v>
      </c>
      <c r="R1213" s="448">
        <f t="shared" si="241"/>
        <v>0</v>
      </c>
      <c r="S1213" s="465" t="e">
        <f t="shared" si="236"/>
        <v>#DIV/0!</v>
      </c>
    </row>
    <row r="1214" spans="1:19" ht="17.25" customHeight="1" hidden="1">
      <c r="A1214" s="108" t="s">
        <v>214</v>
      </c>
      <c r="B1214" s="90" t="s">
        <v>340</v>
      </c>
      <c r="C1214" s="91" t="s">
        <v>472</v>
      </c>
      <c r="D1214" s="91" t="s">
        <v>240</v>
      </c>
      <c r="E1214" s="91" t="s">
        <v>456</v>
      </c>
      <c r="F1214" s="93" t="s">
        <v>399</v>
      </c>
      <c r="G1214" s="96"/>
      <c r="H1214" s="75"/>
      <c r="I1214" s="75"/>
      <c r="J1214" s="96"/>
      <c r="K1214" s="287"/>
      <c r="L1214" s="313"/>
      <c r="M1214" s="75"/>
      <c r="N1214" s="158">
        <f t="shared" si="241"/>
        <v>0</v>
      </c>
      <c r="O1214" s="158">
        <f t="shared" si="241"/>
        <v>0</v>
      </c>
      <c r="P1214" s="294">
        <f t="shared" si="241"/>
        <v>0</v>
      </c>
      <c r="Q1214" s="448">
        <f t="shared" si="241"/>
        <v>0</v>
      </c>
      <c r="R1214" s="448">
        <f t="shared" si="241"/>
        <v>0</v>
      </c>
      <c r="S1214" s="465" t="e">
        <f t="shared" si="236"/>
        <v>#DIV/0!</v>
      </c>
    </row>
    <row r="1215" spans="1:19" ht="17.25" customHeight="1" hidden="1">
      <c r="A1215" s="29"/>
      <c r="B1215" s="30"/>
      <c r="C1215" s="79"/>
      <c r="D1215" s="79"/>
      <c r="E1215" s="79"/>
      <c r="F1215" s="81" t="s">
        <v>215</v>
      </c>
      <c r="G1215" s="97"/>
      <c r="H1215" s="111"/>
      <c r="I1215" s="111"/>
      <c r="J1215" s="97"/>
      <c r="K1215" s="269"/>
      <c r="L1215" s="315"/>
      <c r="M1215" s="82"/>
      <c r="N1215" s="158">
        <f t="shared" si="241"/>
        <v>0</v>
      </c>
      <c r="O1215" s="158">
        <f t="shared" si="241"/>
        <v>0</v>
      </c>
      <c r="P1215" s="294">
        <f t="shared" si="241"/>
        <v>0</v>
      </c>
      <c r="Q1215" s="448">
        <f t="shared" si="241"/>
        <v>0</v>
      </c>
      <c r="R1215" s="448">
        <f t="shared" si="241"/>
        <v>0</v>
      </c>
      <c r="S1215" s="465" t="e">
        <f t="shared" si="236"/>
        <v>#DIV/0!</v>
      </c>
    </row>
    <row r="1216" spans="1:19" ht="12.75" hidden="1">
      <c r="A1216" s="46"/>
      <c r="B1216" s="71"/>
      <c r="C1216" s="76"/>
      <c r="D1216" s="76"/>
      <c r="E1216" s="76"/>
      <c r="F1216" s="78" t="s">
        <v>216</v>
      </c>
      <c r="G1216" s="89"/>
      <c r="H1216" s="82"/>
      <c r="I1216" s="82"/>
      <c r="J1216" s="89"/>
      <c r="K1216" s="275"/>
      <c r="L1216" s="315"/>
      <c r="M1216" s="82"/>
      <c r="N1216" s="158">
        <f t="shared" si="241"/>
        <v>0</v>
      </c>
      <c r="O1216" s="158">
        <f t="shared" si="241"/>
        <v>0</v>
      </c>
      <c r="P1216" s="294">
        <f t="shared" si="241"/>
        <v>0</v>
      </c>
      <c r="Q1216" s="448">
        <f t="shared" si="241"/>
        <v>0</v>
      </c>
      <c r="R1216" s="448">
        <f t="shared" si="241"/>
        <v>0</v>
      </c>
      <c r="S1216" s="465" t="e">
        <f t="shared" si="236"/>
        <v>#DIV/0!</v>
      </c>
    </row>
    <row r="1217" spans="1:19" ht="12.75" hidden="1">
      <c r="A1217" s="29"/>
      <c r="B1217" s="30"/>
      <c r="C1217" s="79"/>
      <c r="D1217" s="79"/>
      <c r="E1217" s="79"/>
      <c r="F1217" s="81" t="s">
        <v>217</v>
      </c>
      <c r="G1217" s="205"/>
      <c r="H1217" s="134"/>
      <c r="I1217" s="134"/>
      <c r="J1217" s="205"/>
      <c r="K1217" s="174"/>
      <c r="L1217" s="315"/>
      <c r="M1217" s="82"/>
      <c r="N1217" s="158">
        <f t="shared" si="241"/>
        <v>0</v>
      </c>
      <c r="O1217" s="158">
        <f t="shared" si="241"/>
        <v>0</v>
      </c>
      <c r="P1217" s="294">
        <f t="shared" si="241"/>
        <v>0</v>
      </c>
      <c r="Q1217" s="448">
        <f t="shared" si="241"/>
        <v>0</v>
      </c>
      <c r="R1217" s="448">
        <f t="shared" si="241"/>
        <v>0</v>
      </c>
      <c r="S1217" s="465" t="e">
        <f t="shared" si="236"/>
        <v>#DIV/0!</v>
      </c>
    </row>
    <row r="1218" spans="1:19" ht="12.75" hidden="1">
      <c r="A1218" s="46"/>
      <c r="B1218" s="71"/>
      <c r="C1218" s="76"/>
      <c r="D1218" s="76"/>
      <c r="E1218" s="76"/>
      <c r="F1218" s="78" t="s">
        <v>233</v>
      </c>
      <c r="G1218" s="89"/>
      <c r="H1218" s="82"/>
      <c r="I1218" s="82"/>
      <c r="J1218" s="89"/>
      <c r="K1218" s="275"/>
      <c r="L1218" s="315"/>
      <c r="M1218" s="82"/>
      <c r="N1218" s="158">
        <f t="shared" si="241"/>
        <v>0</v>
      </c>
      <c r="O1218" s="158">
        <f t="shared" si="241"/>
        <v>0</v>
      </c>
      <c r="P1218" s="294">
        <f t="shared" si="241"/>
        <v>0</v>
      </c>
      <c r="Q1218" s="448">
        <f t="shared" si="241"/>
        <v>0</v>
      </c>
      <c r="R1218" s="448">
        <f t="shared" si="241"/>
        <v>0</v>
      </c>
      <c r="S1218" s="465" t="e">
        <f t="shared" si="236"/>
        <v>#DIV/0!</v>
      </c>
    </row>
    <row r="1219" spans="1:19" ht="12.75" hidden="1">
      <c r="A1219" s="29"/>
      <c r="B1219" s="30"/>
      <c r="C1219" s="79"/>
      <c r="D1219" s="79"/>
      <c r="E1219" s="79"/>
      <c r="F1219" s="81" t="s">
        <v>234</v>
      </c>
      <c r="G1219" s="205"/>
      <c r="H1219" s="134"/>
      <c r="I1219" s="134"/>
      <c r="J1219" s="205"/>
      <c r="K1219" s="174"/>
      <c r="L1219" s="315"/>
      <c r="M1219" s="82"/>
      <c r="N1219" s="158">
        <f t="shared" si="241"/>
        <v>0</v>
      </c>
      <c r="O1219" s="158">
        <f t="shared" si="241"/>
        <v>0</v>
      </c>
      <c r="P1219" s="294">
        <f t="shared" si="241"/>
        <v>0</v>
      </c>
      <c r="Q1219" s="448">
        <f t="shared" si="241"/>
        <v>0</v>
      </c>
      <c r="R1219" s="448">
        <f t="shared" si="241"/>
        <v>0</v>
      </c>
      <c r="S1219" s="465" t="e">
        <f t="shared" si="236"/>
        <v>#DIV/0!</v>
      </c>
    </row>
    <row r="1220" spans="1:19" ht="12.75" hidden="1">
      <c r="A1220" s="46"/>
      <c r="B1220" s="71"/>
      <c r="C1220" s="76"/>
      <c r="D1220" s="76"/>
      <c r="E1220" s="76"/>
      <c r="F1220" s="78" t="s">
        <v>245</v>
      </c>
      <c r="G1220" s="89"/>
      <c r="H1220" s="82"/>
      <c r="I1220" s="82"/>
      <c r="J1220" s="89"/>
      <c r="K1220" s="275"/>
      <c r="L1220" s="315"/>
      <c r="M1220" s="82"/>
      <c r="N1220" s="158">
        <f t="shared" si="241"/>
        <v>0</v>
      </c>
      <c r="O1220" s="158">
        <f t="shared" si="241"/>
        <v>0</v>
      </c>
      <c r="P1220" s="294">
        <f t="shared" si="241"/>
        <v>0</v>
      </c>
      <c r="Q1220" s="448">
        <f t="shared" si="241"/>
        <v>0</v>
      </c>
      <c r="R1220" s="448">
        <f t="shared" si="241"/>
        <v>0</v>
      </c>
      <c r="S1220" s="465" t="e">
        <f t="shared" si="236"/>
        <v>#DIV/0!</v>
      </c>
    </row>
    <row r="1221" spans="1:19" ht="12.75" hidden="1">
      <c r="A1221" s="29"/>
      <c r="B1221" s="30"/>
      <c r="C1221" s="79"/>
      <c r="D1221" s="79"/>
      <c r="E1221" s="79"/>
      <c r="F1221" s="81" t="s">
        <v>235</v>
      </c>
      <c r="G1221" s="205"/>
      <c r="H1221" s="134"/>
      <c r="I1221" s="134"/>
      <c r="J1221" s="205"/>
      <c r="K1221" s="174"/>
      <c r="L1221" s="315"/>
      <c r="M1221" s="82"/>
      <c r="N1221" s="158">
        <f t="shared" si="241"/>
        <v>0</v>
      </c>
      <c r="O1221" s="158">
        <f t="shared" si="241"/>
        <v>0</v>
      </c>
      <c r="P1221" s="294">
        <f t="shared" si="241"/>
        <v>0</v>
      </c>
      <c r="Q1221" s="448">
        <f t="shared" si="241"/>
        <v>0</v>
      </c>
      <c r="R1221" s="448">
        <f t="shared" si="241"/>
        <v>0</v>
      </c>
      <c r="S1221" s="465" t="e">
        <f t="shared" si="236"/>
        <v>#DIV/0!</v>
      </c>
    </row>
    <row r="1222" spans="1:19" ht="12.75" hidden="1">
      <c r="A1222" s="46"/>
      <c r="B1222" s="71"/>
      <c r="C1222" s="76"/>
      <c r="D1222" s="76"/>
      <c r="E1222" s="76"/>
      <c r="F1222" s="78" t="s">
        <v>236</v>
      </c>
      <c r="G1222" s="89"/>
      <c r="H1222" s="82"/>
      <c r="I1222" s="82"/>
      <c r="J1222" s="89"/>
      <c r="K1222" s="275"/>
      <c r="L1222" s="315"/>
      <c r="M1222" s="82"/>
      <c r="N1222" s="158">
        <f t="shared" si="241"/>
        <v>0</v>
      </c>
      <c r="O1222" s="158">
        <f t="shared" si="241"/>
        <v>0</v>
      </c>
      <c r="P1222" s="294">
        <f t="shared" si="241"/>
        <v>0</v>
      </c>
      <c r="Q1222" s="448">
        <f t="shared" si="241"/>
        <v>0</v>
      </c>
      <c r="R1222" s="448">
        <f t="shared" si="241"/>
        <v>0</v>
      </c>
      <c r="S1222" s="465" t="e">
        <f t="shared" si="236"/>
        <v>#DIV/0!</v>
      </c>
    </row>
    <row r="1223" spans="1:19" ht="12.75" hidden="1">
      <c r="A1223" s="29"/>
      <c r="B1223" s="30"/>
      <c r="C1223" s="79"/>
      <c r="D1223" s="79"/>
      <c r="E1223" s="79"/>
      <c r="F1223" s="81" t="s">
        <v>237</v>
      </c>
      <c r="G1223" s="205"/>
      <c r="H1223" s="134"/>
      <c r="I1223" s="134"/>
      <c r="J1223" s="205"/>
      <c r="K1223" s="174"/>
      <c r="L1223" s="315"/>
      <c r="M1223" s="82"/>
      <c r="N1223" s="158">
        <f t="shared" si="241"/>
        <v>0</v>
      </c>
      <c r="O1223" s="158">
        <f t="shared" si="241"/>
        <v>0</v>
      </c>
      <c r="P1223" s="294">
        <f t="shared" si="241"/>
        <v>0</v>
      </c>
      <c r="Q1223" s="448">
        <f t="shared" si="241"/>
        <v>0</v>
      </c>
      <c r="R1223" s="448">
        <f t="shared" si="241"/>
        <v>0</v>
      </c>
      <c r="S1223" s="465" t="e">
        <f t="shared" si="236"/>
        <v>#DIV/0!</v>
      </c>
    </row>
    <row r="1224" spans="1:19" ht="12.75" hidden="1">
      <c r="A1224" s="46"/>
      <c r="B1224" s="71"/>
      <c r="C1224" s="76"/>
      <c r="D1224" s="76"/>
      <c r="E1224" s="76"/>
      <c r="F1224" s="78" t="s">
        <v>238</v>
      </c>
      <c r="G1224" s="89"/>
      <c r="H1224" s="82"/>
      <c r="I1224" s="82"/>
      <c r="J1224" s="89"/>
      <c r="K1224" s="275"/>
      <c r="L1224" s="315"/>
      <c r="M1224" s="82"/>
      <c r="N1224" s="158">
        <f t="shared" si="241"/>
        <v>0</v>
      </c>
      <c r="O1224" s="158">
        <f t="shared" si="241"/>
        <v>0</v>
      </c>
      <c r="P1224" s="294">
        <f t="shared" si="241"/>
        <v>0</v>
      </c>
      <c r="Q1224" s="448">
        <f t="shared" si="241"/>
        <v>0</v>
      </c>
      <c r="R1224" s="448">
        <f t="shared" si="241"/>
        <v>0</v>
      </c>
      <c r="S1224" s="465" t="e">
        <f t="shared" si="236"/>
        <v>#DIV/0!</v>
      </c>
    </row>
    <row r="1225" spans="1:19" ht="13.5" hidden="1" thickBot="1">
      <c r="A1225" s="62"/>
      <c r="B1225" s="53"/>
      <c r="C1225" s="84"/>
      <c r="D1225" s="84"/>
      <c r="E1225" s="84"/>
      <c r="F1225" s="86" t="s">
        <v>239</v>
      </c>
      <c r="G1225" s="206"/>
      <c r="H1225" s="143"/>
      <c r="I1225" s="143"/>
      <c r="J1225" s="206"/>
      <c r="K1225" s="273"/>
      <c r="L1225" s="315"/>
      <c r="M1225" s="82"/>
      <c r="N1225" s="158">
        <f t="shared" si="241"/>
        <v>0</v>
      </c>
      <c r="O1225" s="158">
        <f t="shared" si="241"/>
        <v>0</v>
      </c>
      <c r="P1225" s="294">
        <f t="shared" si="241"/>
        <v>0</v>
      </c>
      <c r="Q1225" s="448">
        <f t="shared" si="241"/>
        <v>0</v>
      </c>
      <c r="R1225" s="448">
        <f t="shared" si="241"/>
        <v>0</v>
      </c>
      <c r="S1225" s="465" t="e">
        <f t="shared" si="236"/>
        <v>#DIV/0!</v>
      </c>
    </row>
    <row r="1226" spans="1:19" ht="51" hidden="1">
      <c r="A1226" s="52" t="s">
        <v>458</v>
      </c>
      <c r="B1226" s="33" t="s">
        <v>340</v>
      </c>
      <c r="C1226" s="34" t="s">
        <v>472</v>
      </c>
      <c r="D1226" s="34" t="s">
        <v>240</v>
      </c>
      <c r="E1226" s="34" t="s">
        <v>459</v>
      </c>
      <c r="F1226" s="250"/>
      <c r="G1226" s="239">
        <f>G1229</f>
        <v>5333.23776</v>
      </c>
      <c r="H1226" s="239">
        <f>H1229</f>
        <v>5058.198017600001</v>
      </c>
      <c r="I1226" s="239">
        <f>I1229</f>
        <v>5268.11300205128</v>
      </c>
      <c r="J1226" s="239">
        <f>J1229</f>
        <v>338.1</v>
      </c>
      <c r="K1226" s="305">
        <f>K1229</f>
        <v>5671.33776</v>
      </c>
      <c r="L1226" s="318"/>
      <c r="M1226" s="235"/>
      <c r="N1226" s="158">
        <f t="shared" si="241"/>
        <v>5671.33776</v>
      </c>
      <c r="O1226" s="158">
        <f t="shared" si="241"/>
        <v>5671.33776</v>
      </c>
      <c r="P1226" s="294">
        <f t="shared" si="241"/>
        <v>11342.67552</v>
      </c>
      <c r="Q1226" s="448">
        <f t="shared" si="241"/>
        <v>22685.35104</v>
      </c>
      <c r="R1226" s="448">
        <f t="shared" si="241"/>
        <v>39699.36432</v>
      </c>
      <c r="S1226" s="465">
        <f t="shared" si="236"/>
        <v>175</v>
      </c>
    </row>
    <row r="1227" spans="1:19" ht="12.75" hidden="1">
      <c r="A1227" s="50"/>
      <c r="B1227" s="30"/>
      <c r="C1227" s="31"/>
      <c r="D1227" s="31"/>
      <c r="E1227" s="31"/>
      <c r="F1227" s="81" t="s">
        <v>239</v>
      </c>
      <c r="G1227" s="232"/>
      <c r="H1227" s="232"/>
      <c r="I1227" s="232"/>
      <c r="J1227" s="232"/>
      <c r="K1227" s="296"/>
      <c r="L1227" s="298"/>
      <c r="M1227" s="298"/>
      <c r="N1227" s="158"/>
      <c r="O1227" s="158"/>
      <c r="P1227" s="294">
        <v>20</v>
      </c>
      <c r="Q1227" s="448">
        <f>N1227+O1227+P1227</f>
        <v>20</v>
      </c>
      <c r="R1227" s="448">
        <f>O1227+P1227+Q1227</f>
        <v>40</v>
      </c>
      <c r="S1227" s="465">
        <f t="shared" si="236"/>
        <v>200</v>
      </c>
    </row>
    <row r="1228" spans="1:19" ht="12.75" hidden="1">
      <c r="A1228" s="50"/>
      <c r="B1228" s="30"/>
      <c r="C1228" s="31"/>
      <c r="D1228" s="31"/>
      <c r="E1228" s="31"/>
      <c r="F1228" s="366" t="s">
        <v>238</v>
      </c>
      <c r="G1228" s="367"/>
      <c r="H1228" s="367"/>
      <c r="I1228" s="367"/>
      <c r="J1228" s="367"/>
      <c r="K1228" s="368"/>
      <c r="L1228" s="306">
        <v>260</v>
      </c>
      <c r="M1228" s="306"/>
      <c r="N1228" s="158">
        <f t="shared" si="241"/>
        <v>260</v>
      </c>
      <c r="O1228" s="158"/>
      <c r="P1228" s="294">
        <v>442.6</v>
      </c>
      <c r="Q1228" s="460">
        <f t="shared" si="241"/>
        <v>702.6</v>
      </c>
      <c r="R1228" s="460">
        <f t="shared" si="241"/>
        <v>1145.2</v>
      </c>
      <c r="S1228" s="496">
        <f t="shared" si="236"/>
        <v>162.99459151722175</v>
      </c>
    </row>
    <row r="1229" spans="1:19" ht="54" customHeight="1">
      <c r="A1229" s="46" t="s">
        <v>458</v>
      </c>
      <c r="B1229" s="71" t="s">
        <v>340</v>
      </c>
      <c r="C1229" s="72" t="s">
        <v>472</v>
      </c>
      <c r="D1229" s="72" t="s">
        <v>240</v>
      </c>
      <c r="E1229" s="72" t="s">
        <v>459</v>
      </c>
      <c r="F1229" s="74"/>
      <c r="G1229" s="96">
        <f>G1231+G1235+G1242</f>
        <v>5333.23776</v>
      </c>
      <c r="H1229" s="96">
        <f>H1231+H1235+H1242</f>
        <v>5058.198017600001</v>
      </c>
      <c r="I1229" s="96">
        <f>I1231+I1235+I1242</f>
        <v>5268.11300205128</v>
      </c>
      <c r="J1229" s="96">
        <f>J1231+J1235+J1242</f>
        <v>338.1</v>
      </c>
      <c r="K1229" s="287">
        <f aca="true" t="shared" si="243" ref="K1229:R1229">K1230</f>
        <v>5671.33776</v>
      </c>
      <c r="L1229" s="287">
        <f t="shared" si="243"/>
        <v>42</v>
      </c>
      <c r="M1229" s="287">
        <f t="shared" si="243"/>
        <v>1004.1</v>
      </c>
      <c r="N1229" s="287">
        <f t="shared" si="243"/>
        <v>6717.437760000001</v>
      </c>
      <c r="O1229" s="287">
        <f t="shared" si="243"/>
        <v>13.530999999999999</v>
      </c>
      <c r="P1229" s="287">
        <f t="shared" si="243"/>
        <v>0</v>
      </c>
      <c r="Q1229" s="471">
        <f t="shared" si="243"/>
        <v>7649.36876</v>
      </c>
      <c r="R1229" s="472">
        <f t="shared" si="243"/>
        <v>7588.90644</v>
      </c>
      <c r="S1229" s="473">
        <f aca="true" t="shared" si="244" ref="S1229:S1292">R1229/Q1229*100</f>
        <v>99.20957765409129</v>
      </c>
    </row>
    <row r="1230" spans="1:19" ht="30" customHeight="1">
      <c r="A1230" s="108" t="s">
        <v>184</v>
      </c>
      <c r="B1230" s="90" t="s">
        <v>340</v>
      </c>
      <c r="C1230" s="129" t="s">
        <v>472</v>
      </c>
      <c r="D1230" s="129" t="s">
        <v>240</v>
      </c>
      <c r="E1230" s="129" t="s">
        <v>460</v>
      </c>
      <c r="F1230" s="32"/>
      <c r="G1230" s="203"/>
      <c r="H1230" s="203"/>
      <c r="I1230" s="203"/>
      <c r="J1230" s="203"/>
      <c r="K1230" s="268">
        <f aca="true" t="shared" si="245" ref="K1230:Q1230">K1231+K1235+K1242</f>
        <v>5671.33776</v>
      </c>
      <c r="L1230" s="268">
        <f t="shared" si="245"/>
        <v>42</v>
      </c>
      <c r="M1230" s="268">
        <f t="shared" si="245"/>
        <v>1004.1</v>
      </c>
      <c r="N1230" s="268">
        <f t="shared" si="245"/>
        <v>6717.437760000001</v>
      </c>
      <c r="O1230" s="268">
        <f t="shared" si="245"/>
        <v>13.530999999999999</v>
      </c>
      <c r="P1230" s="268">
        <f t="shared" si="245"/>
        <v>0</v>
      </c>
      <c r="Q1230" s="474">
        <f t="shared" si="245"/>
        <v>7649.36876</v>
      </c>
      <c r="R1230" s="449">
        <f>R1231+R1235+R1242</f>
        <v>7588.90644</v>
      </c>
      <c r="S1230" s="465">
        <f t="shared" si="244"/>
        <v>99.20957765409129</v>
      </c>
    </row>
    <row r="1231" spans="1:19" ht="15.75" customHeight="1">
      <c r="A1231" s="181" t="s">
        <v>123</v>
      </c>
      <c r="B1231" s="141" t="s">
        <v>340</v>
      </c>
      <c r="C1231" s="76" t="s">
        <v>472</v>
      </c>
      <c r="D1231" s="76" t="s">
        <v>240</v>
      </c>
      <c r="E1231" s="76" t="s">
        <v>460</v>
      </c>
      <c r="F1231" s="78" t="s">
        <v>122</v>
      </c>
      <c r="G1231" s="89">
        <f aca="true" t="shared" si="246" ref="G1231:N1231">G1232+G1233+G1234</f>
        <v>5037.55776</v>
      </c>
      <c r="H1231" s="82">
        <f t="shared" si="246"/>
        <v>4775.1849600000005</v>
      </c>
      <c r="I1231" s="82">
        <f t="shared" si="246"/>
        <v>4986.0332</v>
      </c>
      <c r="J1231" s="89">
        <f t="shared" si="246"/>
        <v>338.1</v>
      </c>
      <c r="K1231" s="275">
        <f t="shared" si="246"/>
        <v>5375.65776</v>
      </c>
      <c r="L1231" s="275">
        <f t="shared" si="246"/>
        <v>0</v>
      </c>
      <c r="M1231" s="275">
        <f t="shared" si="246"/>
        <v>1004.1</v>
      </c>
      <c r="N1231" s="275">
        <f t="shared" si="246"/>
        <v>6379.75776</v>
      </c>
      <c r="O1231" s="275">
        <f>O1232+O1233+O1234</f>
        <v>1</v>
      </c>
      <c r="P1231" s="275">
        <f>P1232+P1233+P1234</f>
        <v>0</v>
      </c>
      <c r="Q1231" s="487">
        <v>7299.15776</v>
      </c>
      <c r="R1231" s="448">
        <v>7277.98927</v>
      </c>
      <c r="S1231" s="444">
        <f t="shared" si="244"/>
        <v>99.70998722460823</v>
      </c>
    </row>
    <row r="1232" spans="1:19" ht="12.75" hidden="1">
      <c r="A1232" s="192"/>
      <c r="B1232" s="30"/>
      <c r="C1232" s="79"/>
      <c r="D1232" s="79"/>
      <c r="E1232" s="79"/>
      <c r="F1232" s="81" t="s">
        <v>215</v>
      </c>
      <c r="G1232" s="102">
        <v>3868.3</v>
      </c>
      <c r="H1232" s="137">
        <f>4028*0.91</f>
        <v>3665.48</v>
      </c>
      <c r="I1232" s="137">
        <f>4028*0.95</f>
        <v>3826.6</v>
      </c>
      <c r="J1232" s="102">
        <v>259.7</v>
      </c>
      <c r="K1232" s="280">
        <v>4128</v>
      </c>
      <c r="L1232" s="331"/>
      <c r="M1232" s="137">
        <v>771.2</v>
      </c>
      <c r="N1232" s="102">
        <f>K1232+L1232+M1232</f>
        <v>4899.2</v>
      </c>
      <c r="O1232" s="102"/>
      <c r="P1232" s="280"/>
      <c r="Q1232" s="487">
        <f aca="true" t="shared" si="247" ref="Q1232:R1234">N1232+O1232+P1232</f>
        <v>4899.2</v>
      </c>
      <c r="R1232" s="448">
        <f t="shared" si="247"/>
        <v>4899.2</v>
      </c>
      <c r="S1232" s="444">
        <f t="shared" si="244"/>
        <v>100</v>
      </c>
    </row>
    <row r="1233" spans="1:19" ht="12.75" hidden="1">
      <c r="A1233" s="181"/>
      <c r="B1233" s="71"/>
      <c r="C1233" s="76"/>
      <c r="D1233" s="76"/>
      <c r="E1233" s="76"/>
      <c r="F1233" s="78" t="s">
        <v>216</v>
      </c>
      <c r="G1233" s="89">
        <v>1</v>
      </c>
      <c r="H1233" s="82">
        <f>3*0.91</f>
        <v>2.73</v>
      </c>
      <c r="I1233" s="82">
        <f>4*0.95</f>
        <v>3.8</v>
      </c>
      <c r="J1233" s="89"/>
      <c r="K1233" s="275">
        <v>1</v>
      </c>
      <c r="L1233" s="315"/>
      <c r="M1233" s="82"/>
      <c r="N1233" s="89">
        <f>K1233+L1233+M1233</f>
        <v>1</v>
      </c>
      <c r="O1233" s="89">
        <v>1</v>
      </c>
      <c r="P1233" s="275"/>
      <c r="Q1233" s="487">
        <f t="shared" si="247"/>
        <v>2</v>
      </c>
      <c r="R1233" s="448">
        <f t="shared" si="247"/>
        <v>3</v>
      </c>
      <c r="S1233" s="444">
        <f t="shared" si="244"/>
        <v>150</v>
      </c>
    </row>
    <row r="1234" spans="1:19" ht="12.75" hidden="1">
      <c r="A1234" s="192"/>
      <c r="B1234" s="30"/>
      <c r="C1234" s="79"/>
      <c r="D1234" s="79"/>
      <c r="E1234" s="79"/>
      <c r="F1234" s="81" t="s">
        <v>217</v>
      </c>
      <c r="G1234" s="89">
        <v>1168.25776</v>
      </c>
      <c r="H1234" s="82">
        <f>H1232*0.302</f>
        <v>1106.97496</v>
      </c>
      <c r="I1234" s="82">
        <f>I1232*0.302</f>
        <v>1155.6332</v>
      </c>
      <c r="J1234" s="89">
        <v>78.4</v>
      </c>
      <c r="K1234" s="275">
        <v>1246.65776</v>
      </c>
      <c r="L1234" s="315"/>
      <c r="M1234" s="82">
        <v>232.9</v>
      </c>
      <c r="N1234" s="89">
        <f>K1234+L1234+M1234</f>
        <v>1479.5577600000001</v>
      </c>
      <c r="O1234" s="89"/>
      <c r="P1234" s="275"/>
      <c r="Q1234" s="487">
        <f t="shared" si="247"/>
        <v>1479.5577600000001</v>
      </c>
      <c r="R1234" s="448">
        <f t="shared" si="247"/>
        <v>1479.5577600000001</v>
      </c>
      <c r="S1234" s="444">
        <f t="shared" si="244"/>
        <v>100</v>
      </c>
    </row>
    <row r="1235" spans="1:19" ht="15.75" customHeight="1">
      <c r="A1235" s="181" t="s">
        <v>109</v>
      </c>
      <c r="B1235" s="161" t="s">
        <v>340</v>
      </c>
      <c r="C1235" s="100" t="s">
        <v>472</v>
      </c>
      <c r="D1235" s="100" t="s">
        <v>240</v>
      </c>
      <c r="E1235" s="100" t="s">
        <v>460</v>
      </c>
      <c r="F1235" s="78" t="s">
        <v>106</v>
      </c>
      <c r="G1235" s="89">
        <f aca="true" t="shared" si="248" ref="G1235:N1235">G1236+G1237+G1238+G1240+G1241+G1244+G1245+G1239</f>
        <v>288.96</v>
      </c>
      <c r="H1235" s="89">
        <f t="shared" si="248"/>
        <v>276.57986719999997</v>
      </c>
      <c r="I1235" s="89">
        <f t="shared" si="248"/>
        <v>275.66880615816</v>
      </c>
      <c r="J1235" s="89">
        <f t="shared" si="248"/>
        <v>1</v>
      </c>
      <c r="K1235" s="275">
        <f t="shared" si="248"/>
        <v>289.96</v>
      </c>
      <c r="L1235" s="275">
        <f t="shared" si="248"/>
        <v>42</v>
      </c>
      <c r="M1235" s="275">
        <f t="shared" si="248"/>
        <v>0</v>
      </c>
      <c r="N1235" s="275">
        <f t="shared" si="248"/>
        <v>331.96</v>
      </c>
      <c r="O1235" s="275">
        <f>O1236+O1237+O1238+O1240+O1241+O1244+O1245+O1239</f>
        <v>12.530999999999999</v>
      </c>
      <c r="P1235" s="275">
        <f>P1236+P1237+P1238+P1240+P1241+P1244+P1245+P1239</f>
        <v>0</v>
      </c>
      <c r="Q1235" s="487">
        <f>Q1236+Q1237+Q1238+Q1240+Q1241+Q1244+Q1245+Q1239</f>
        <v>344.491</v>
      </c>
      <c r="R1235" s="448">
        <v>308.24701</v>
      </c>
      <c r="S1235" s="444">
        <f t="shared" si="244"/>
        <v>89.47897332586338</v>
      </c>
    </row>
    <row r="1236" spans="1:19" ht="12.75" hidden="1">
      <c r="A1236" s="181"/>
      <c r="B1236" s="71"/>
      <c r="C1236" s="76"/>
      <c r="D1236" s="76"/>
      <c r="E1236" s="76"/>
      <c r="F1236" s="78" t="s">
        <v>233</v>
      </c>
      <c r="G1236" s="89">
        <v>97.96</v>
      </c>
      <c r="H1236" s="82">
        <f>G1236*1.052*0.91</f>
        <v>93.7790672</v>
      </c>
      <c r="I1236" s="82">
        <f>H1236*1.049*0.95</f>
        <v>93.45552941816</v>
      </c>
      <c r="J1236" s="89"/>
      <c r="K1236" s="275">
        <v>97.96</v>
      </c>
      <c r="L1236" s="315"/>
      <c r="M1236" s="82"/>
      <c r="N1236" s="89">
        <f aca="true" t="shared" si="249" ref="N1236:R1241">K1236+L1236+M1236</f>
        <v>97.96</v>
      </c>
      <c r="O1236" s="378">
        <v>-34</v>
      </c>
      <c r="P1236" s="275"/>
      <c r="Q1236" s="487">
        <f t="shared" si="249"/>
        <v>63.959999999999994</v>
      </c>
      <c r="R1236" s="448">
        <f t="shared" si="249"/>
        <v>29.959999999999994</v>
      </c>
      <c r="S1236" s="444">
        <f t="shared" si="244"/>
        <v>46.84177611006879</v>
      </c>
    </row>
    <row r="1237" spans="1:19" ht="12.75" hidden="1">
      <c r="A1237" s="192"/>
      <c r="B1237" s="30"/>
      <c r="C1237" s="79"/>
      <c r="D1237" s="79"/>
      <c r="E1237" s="79"/>
      <c r="F1237" s="81" t="s">
        <v>234</v>
      </c>
      <c r="G1237" s="89">
        <v>1</v>
      </c>
      <c r="H1237" s="82">
        <f>1*0.91</f>
        <v>0.91</v>
      </c>
      <c r="I1237" s="82">
        <f>1*0.95</f>
        <v>0.95</v>
      </c>
      <c r="J1237" s="89"/>
      <c r="K1237" s="275">
        <v>1</v>
      </c>
      <c r="L1237" s="315"/>
      <c r="M1237" s="82"/>
      <c r="N1237" s="89">
        <f t="shared" si="249"/>
        <v>1</v>
      </c>
      <c r="O1237" s="89"/>
      <c r="P1237" s="275"/>
      <c r="Q1237" s="487">
        <f t="shared" si="249"/>
        <v>1</v>
      </c>
      <c r="R1237" s="448">
        <f t="shared" si="249"/>
        <v>1</v>
      </c>
      <c r="S1237" s="444">
        <f t="shared" si="244"/>
        <v>100</v>
      </c>
    </row>
    <row r="1238" spans="1:19" ht="12.75" hidden="1">
      <c r="A1238" s="181"/>
      <c r="B1238" s="71"/>
      <c r="C1238" s="76"/>
      <c r="D1238" s="76"/>
      <c r="E1238" s="76"/>
      <c r="F1238" s="78" t="s">
        <v>245</v>
      </c>
      <c r="G1238" s="89"/>
      <c r="H1238" s="82"/>
      <c r="I1238" s="82"/>
      <c r="J1238" s="89"/>
      <c r="K1238" s="275">
        <f>G1238+J1238</f>
        <v>0</v>
      </c>
      <c r="L1238" s="315"/>
      <c r="M1238" s="82"/>
      <c r="N1238" s="89">
        <f t="shared" si="249"/>
        <v>0</v>
      </c>
      <c r="O1238" s="89"/>
      <c r="P1238" s="275"/>
      <c r="Q1238" s="487">
        <f t="shared" si="249"/>
        <v>0</v>
      </c>
      <c r="R1238" s="448">
        <f t="shared" si="249"/>
        <v>0</v>
      </c>
      <c r="S1238" s="444" t="e">
        <f t="shared" si="244"/>
        <v>#DIV/0!</v>
      </c>
    </row>
    <row r="1239" spans="1:19" ht="12.75" hidden="1">
      <c r="A1239" s="192"/>
      <c r="B1239" s="30"/>
      <c r="C1239" s="79"/>
      <c r="D1239" s="79"/>
      <c r="E1239" s="79"/>
      <c r="F1239" s="81" t="s">
        <v>237</v>
      </c>
      <c r="G1239" s="89"/>
      <c r="H1239" s="82"/>
      <c r="I1239" s="82"/>
      <c r="J1239" s="89">
        <v>3</v>
      </c>
      <c r="K1239" s="275">
        <v>3</v>
      </c>
      <c r="L1239" s="315"/>
      <c r="M1239" s="82"/>
      <c r="N1239" s="89">
        <f t="shared" si="249"/>
        <v>3</v>
      </c>
      <c r="O1239" s="89"/>
      <c r="P1239" s="275"/>
      <c r="Q1239" s="487">
        <f t="shared" si="249"/>
        <v>3</v>
      </c>
      <c r="R1239" s="448">
        <f t="shared" si="249"/>
        <v>3</v>
      </c>
      <c r="S1239" s="444">
        <f t="shared" si="244"/>
        <v>100</v>
      </c>
    </row>
    <row r="1240" spans="1:19" ht="12.75" hidden="1">
      <c r="A1240" s="192"/>
      <c r="B1240" s="30"/>
      <c r="C1240" s="79"/>
      <c r="D1240" s="79"/>
      <c r="E1240" s="79"/>
      <c r="F1240" s="81" t="s">
        <v>235</v>
      </c>
      <c r="G1240" s="89">
        <v>8</v>
      </c>
      <c r="H1240" s="82">
        <f>G1240*1.052*0.91</f>
        <v>7.6585600000000005</v>
      </c>
      <c r="I1240" s="82">
        <f>H1240*1.049*0.95</f>
        <v>7.632137967999999</v>
      </c>
      <c r="J1240" s="89"/>
      <c r="K1240" s="275">
        <v>8</v>
      </c>
      <c r="L1240" s="315"/>
      <c r="M1240" s="82"/>
      <c r="N1240" s="89">
        <f t="shared" si="249"/>
        <v>8</v>
      </c>
      <c r="O1240" s="89"/>
      <c r="P1240" s="275"/>
      <c r="Q1240" s="487">
        <f t="shared" si="249"/>
        <v>8</v>
      </c>
      <c r="R1240" s="448">
        <f t="shared" si="249"/>
        <v>8</v>
      </c>
      <c r="S1240" s="444">
        <f t="shared" si="244"/>
        <v>100</v>
      </c>
    </row>
    <row r="1241" spans="1:19" ht="12.75" hidden="1">
      <c r="A1241" s="181"/>
      <c r="B1241" s="71"/>
      <c r="C1241" s="76"/>
      <c r="D1241" s="76"/>
      <c r="E1241" s="76"/>
      <c r="F1241" s="78" t="s">
        <v>236</v>
      </c>
      <c r="G1241" s="89">
        <v>10</v>
      </c>
      <c r="H1241" s="82">
        <f>G1241*1.052*0.91</f>
        <v>9.5732</v>
      </c>
      <c r="I1241" s="82">
        <f>H1241*1.049*0.95</f>
        <v>9.540172459999999</v>
      </c>
      <c r="J1241" s="89">
        <v>10</v>
      </c>
      <c r="K1241" s="275">
        <v>20</v>
      </c>
      <c r="L1241" s="315"/>
      <c r="M1241" s="82"/>
      <c r="N1241" s="89">
        <f t="shared" si="249"/>
        <v>20</v>
      </c>
      <c r="O1241" s="378">
        <f>13.531+45</f>
        <v>58.531</v>
      </c>
      <c r="P1241" s="275"/>
      <c r="Q1241" s="487">
        <f t="shared" si="249"/>
        <v>78.531</v>
      </c>
      <c r="R1241" s="448">
        <f t="shared" si="249"/>
        <v>137.062</v>
      </c>
      <c r="S1241" s="444">
        <f t="shared" si="244"/>
        <v>174.53235028205424</v>
      </c>
    </row>
    <row r="1242" spans="1:19" ht="15.75" customHeight="1" thickBot="1">
      <c r="A1242" s="192" t="s">
        <v>110</v>
      </c>
      <c r="B1242" s="161" t="s">
        <v>340</v>
      </c>
      <c r="C1242" s="100" t="s">
        <v>472</v>
      </c>
      <c r="D1242" s="100" t="s">
        <v>240</v>
      </c>
      <c r="E1242" s="100" t="s">
        <v>460</v>
      </c>
      <c r="F1242" s="81" t="s">
        <v>107</v>
      </c>
      <c r="G1242" s="97">
        <f aca="true" t="shared" si="250" ref="G1242:Q1242">G1243</f>
        <v>6.72</v>
      </c>
      <c r="H1242" s="111">
        <f t="shared" si="250"/>
        <v>6.4331904</v>
      </c>
      <c r="I1242" s="111">
        <f t="shared" si="250"/>
        <v>6.410995893119999</v>
      </c>
      <c r="J1242" s="97">
        <f t="shared" si="250"/>
        <v>-1</v>
      </c>
      <c r="K1242" s="275">
        <f t="shared" si="250"/>
        <v>5.72</v>
      </c>
      <c r="L1242" s="275">
        <f t="shared" si="250"/>
        <v>0</v>
      </c>
      <c r="M1242" s="275">
        <f t="shared" si="250"/>
        <v>0</v>
      </c>
      <c r="N1242" s="275">
        <f t="shared" si="250"/>
        <v>5.72</v>
      </c>
      <c r="O1242" s="275">
        <f t="shared" si="250"/>
        <v>0</v>
      </c>
      <c r="P1242" s="275">
        <f t="shared" si="250"/>
        <v>0</v>
      </c>
      <c r="Q1242" s="488">
        <f t="shared" si="250"/>
        <v>5.72</v>
      </c>
      <c r="R1242" s="489">
        <v>2.67016</v>
      </c>
      <c r="S1242" s="477">
        <f t="shared" si="244"/>
        <v>46.681118881118884</v>
      </c>
    </row>
    <row r="1243" spans="1:19" ht="13.5" hidden="1" thickBot="1">
      <c r="A1243" s="29"/>
      <c r="B1243" s="30"/>
      <c r="C1243" s="79"/>
      <c r="D1243" s="79"/>
      <c r="E1243" s="79"/>
      <c r="F1243" s="81" t="s">
        <v>237</v>
      </c>
      <c r="G1243" s="97">
        <v>6.72</v>
      </c>
      <c r="H1243" s="82">
        <f>G1243*1.052*0.91</f>
        <v>6.4331904</v>
      </c>
      <c r="I1243" s="82">
        <f>H1243*1.049*0.95</f>
        <v>6.410995893119999</v>
      </c>
      <c r="J1243" s="97">
        <v>-1</v>
      </c>
      <c r="K1243" s="275">
        <f>G1243+J1243</f>
        <v>5.72</v>
      </c>
      <c r="L1243" s="315"/>
      <c r="M1243" s="82"/>
      <c r="N1243" s="89">
        <f>K1243+L1243+M1243</f>
        <v>5.72</v>
      </c>
      <c r="O1243" s="89"/>
      <c r="P1243" s="275"/>
      <c r="Q1243" s="485">
        <f aca="true" t="shared" si="251" ref="Q1243:R1245">N1243+O1243+P1243</f>
        <v>5.72</v>
      </c>
      <c r="R1243" s="485">
        <f t="shared" si="251"/>
        <v>5.72</v>
      </c>
      <c r="S1243" s="481">
        <f t="shared" si="244"/>
        <v>100</v>
      </c>
    </row>
    <row r="1244" spans="1:19" ht="13.5" customHeight="1" hidden="1">
      <c r="A1244" s="46"/>
      <c r="B1244" s="71"/>
      <c r="C1244" s="76"/>
      <c r="D1244" s="76"/>
      <c r="E1244" s="76"/>
      <c r="F1244" s="78" t="s">
        <v>238</v>
      </c>
      <c r="G1244" s="89">
        <v>34</v>
      </c>
      <c r="H1244" s="82">
        <f>G1244*1.052*0.91</f>
        <v>32.548880000000004</v>
      </c>
      <c r="I1244" s="82">
        <f>H1244*1.049*0.95</f>
        <v>32.436586364</v>
      </c>
      <c r="J1244" s="89">
        <v>-12</v>
      </c>
      <c r="K1244" s="275">
        <v>22</v>
      </c>
      <c r="L1244" s="315"/>
      <c r="M1244" s="82"/>
      <c r="N1244" s="89">
        <v>22</v>
      </c>
      <c r="O1244" s="89"/>
      <c r="P1244" s="275"/>
      <c r="Q1244" s="448">
        <f t="shared" si="251"/>
        <v>22</v>
      </c>
      <c r="R1244" s="448">
        <f t="shared" si="251"/>
        <v>22</v>
      </c>
      <c r="S1244" s="465">
        <f t="shared" si="244"/>
        <v>100</v>
      </c>
    </row>
    <row r="1245" spans="1:19" ht="13.5" hidden="1" thickBot="1">
      <c r="A1245" s="62"/>
      <c r="B1245" s="53"/>
      <c r="C1245" s="84"/>
      <c r="D1245" s="84"/>
      <c r="E1245" s="84"/>
      <c r="F1245" s="86" t="s">
        <v>239</v>
      </c>
      <c r="G1245" s="206">
        <v>138</v>
      </c>
      <c r="H1245" s="82">
        <f>G1245*1.052*0.91</f>
        <v>132.11016</v>
      </c>
      <c r="I1245" s="82">
        <f>H1245*1.049*0.95</f>
        <v>131.65437994799998</v>
      </c>
      <c r="J1245" s="206"/>
      <c r="K1245" s="275">
        <v>138</v>
      </c>
      <c r="L1245" s="315">
        <v>42</v>
      </c>
      <c r="M1245" s="82"/>
      <c r="N1245" s="89">
        <f>K1245+L1245+M1245</f>
        <v>180</v>
      </c>
      <c r="O1245" s="89">
        <v>-12</v>
      </c>
      <c r="P1245" s="275"/>
      <c r="Q1245" s="448">
        <f t="shared" si="251"/>
        <v>168</v>
      </c>
      <c r="R1245" s="448">
        <f t="shared" si="251"/>
        <v>156</v>
      </c>
      <c r="S1245" s="465">
        <f t="shared" si="244"/>
        <v>92.85714285714286</v>
      </c>
    </row>
    <row r="1246" spans="1:19" ht="16.5" customHeight="1" thickBot="1">
      <c r="A1246" s="182" t="s">
        <v>150</v>
      </c>
      <c r="B1246" s="183" t="s">
        <v>201</v>
      </c>
      <c r="C1246" s="184" t="s">
        <v>196</v>
      </c>
      <c r="D1246" s="184" t="s">
        <v>199</v>
      </c>
      <c r="E1246" s="184"/>
      <c r="F1246" s="186"/>
      <c r="G1246" s="198">
        <f aca="true" t="shared" si="252" ref="G1246:N1246">G1247+G1336+G1369</f>
        <v>40527.9776</v>
      </c>
      <c r="H1246" s="198" t="e">
        <f t="shared" si="252"/>
        <v>#REF!</v>
      </c>
      <c r="I1246" s="198" t="e">
        <f t="shared" si="252"/>
        <v>#REF!</v>
      </c>
      <c r="J1246" s="198">
        <f t="shared" si="252"/>
        <v>-1310.49351</v>
      </c>
      <c r="K1246" s="284">
        <f t="shared" si="252"/>
        <v>39217.484090000005</v>
      </c>
      <c r="L1246" s="284">
        <f t="shared" si="252"/>
        <v>-186</v>
      </c>
      <c r="M1246" s="284">
        <f t="shared" si="252"/>
        <v>371</v>
      </c>
      <c r="N1246" s="284">
        <f t="shared" si="252"/>
        <v>39402.484090000005</v>
      </c>
      <c r="O1246" s="284">
        <f>O1247+O1336+O1369</f>
        <v>-0.91</v>
      </c>
      <c r="P1246" s="284">
        <f>P1247+P1336+P1369</f>
        <v>-3222.7</v>
      </c>
      <c r="Q1246" s="522">
        <f>Q1247+Q1336+Q1369</f>
        <v>36178.87409</v>
      </c>
      <c r="R1246" s="522">
        <f>R1247+R1336+R1369</f>
        <v>33936.88596</v>
      </c>
      <c r="S1246" s="496">
        <f t="shared" si="244"/>
        <v>93.80304615223032</v>
      </c>
    </row>
    <row r="1247" spans="1:19" ht="16.5" customHeight="1" thickBot="1">
      <c r="A1247" s="17" t="s">
        <v>21</v>
      </c>
      <c r="B1247" s="18" t="s">
        <v>202</v>
      </c>
      <c r="C1247" s="19" t="s">
        <v>196</v>
      </c>
      <c r="D1247" s="19" t="s">
        <v>198</v>
      </c>
      <c r="E1247" s="19"/>
      <c r="F1247" s="21"/>
      <c r="G1247" s="199">
        <f aca="true" t="shared" si="253" ref="G1247:R1249">G1248</f>
        <v>4542.297600000001</v>
      </c>
      <c r="H1247" s="22">
        <f t="shared" si="253"/>
        <v>4529.47131</v>
      </c>
      <c r="I1247" s="22">
        <f t="shared" si="253"/>
        <v>4961.109</v>
      </c>
      <c r="J1247" s="199">
        <f t="shared" si="253"/>
        <v>250.91186</v>
      </c>
      <c r="K1247" s="285">
        <f t="shared" si="253"/>
        <v>4793.209460000001</v>
      </c>
      <c r="L1247" s="285">
        <f t="shared" si="253"/>
        <v>0</v>
      </c>
      <c r="M1247" s="285">
        <f t="shared" si="253"/>
        <v>5</v>
      </c>
      <c r="N1247" s="285">
        <f t="shared" si="253"/>
        <v>4798.209460000001</v>
      </c>
      <c r="O1247" s="285">
        <f t="shared" si="253"/>
        <v>0</v>
      </c>
      <c r="P1247" s="285">
        <f t="shared" si="253"/>
        <v>187</v>
      </c>
      <c r="Q1247" s="492">
        <f t="shared" si="253"/>
        <v>4985.209460000001</v>
      </c>
      <c r="R1247" s="493">
        <f t="shared" si="253"/>
        <v>4964.16905</v>
      </c>
      <c r="S1247" s="484">
        <f t="shared" si="244"/>
        <v>99.57794331073102</v>
      </c>
    </row>
    <row r="1248" spans="1:19" s="41" customFormat="1" ht="15.75" customHeight="1">
      <c r="A1248" s="65" t="s">
        <v>22</v>
      </c>
      <c r="B1248" s="66" t="s">
        <v>202</v>
      </c>
      <c r="C1248" s="67" t="s">
        <v>196</v>
      </c>
      <c r="D1248" s="67" t="s">
        <v>198</v>
      </c>
      <c r="E1248" s="67" t="s">
        <v>23</v>
      </c>
      <c r="F1248" s="69"/>
      <c r="G1248" s="200">
        <f t="shared" si="253"/>
        <v>4542.297600000001</v>
      </c>
      <c r="H1248" s="70">
        <f t="shared" si="253"/>
        <v>4529.47131</v>
      </c>
      <c r="I1248" s="70">
        <f t="shared" si="253"/>
        <v>4961.109</v>
      </c>
      <c r="J1248" s="200">
        <f t="shared" si="253"/>
        <v>250.91186</v>
      </c>
      <c r="K1248" s="286">
        <f t="shared" si="253"/>
        <v>4793.209460000001</v>
      </c>
      <c r="L1248" s="286">
        <f t="shared" si="253"/>
        <v>0</v>
      </c>
      <c r="M1248" s="286">
        <f t="shared" si="253"/>
        <v>5</v>
      </c>
      <c r="N1248" s="286">
        <f t="shared" si="253"/>
        <v>4798.209460000001</v>
      </c>
      <c r="O1248" s="286">
        <f t="shared" si="253"/>
        <v>0</v>
      </c>
      <c r="P1248" s="286">
        <f t="shared" si="253"/>
        <v>187</v>
      </c>
      <c r="Q1248" s="480">
        <f t="shared" si="253"/>
        <v>4985.209460000001</v>
      </c>
      <c r="R1248" s="480">
        <f t="shared" si="253"/>
        <v>4964.16905</v>
      </c>
      <c r="S1248" s="481">
        <f t="shared" si="244"/>
        <v>99.57794331073102</v>
      </c>
    </row>
    <row r="1249" spans="1:19" ht="25.5">
      <c r="A1249" s="46" t="s">
        <v>544</v>
      </c>
      <c r="B1249" s="71" t="s">
        <v>202</v>
      </c>
      <c r="C1249" s="72" t="s">
        <v>196</v>
      </c>
      <c r="D1249" s="72" t="s">
        <v>198</v>
      </c>
      <c r="E1249" s="72" t="s">
        <v>24</v>
      </c>
      <c r="F1249" s="74"/>
      <c r="G1249" s="96">
        <f t="shared" si="253"/>
        <v>4542.297600000001</v>
      </c>
      <c r="H1249" s="75">
        <f t="shared" si="253"/>
        <v>4529.47131</v>
      </c>
      <c r="I1249" s="75">
        <f t="shared" si="253"/>
        <v>4961.109</v>
      </c>
      <c r="J1249" s="96">
        <f t="shared" si="253"/>
        <v>250.91186</v>
      </c>
      <c r="K1249" s="287">
        <f t="shared" si="253"/>
        <v>4793.209460000001</v>
      </c>
      <c r="L1249" s="287">
        <f t="shared" si="253"/>
        <v>0</v>
      </c>
      <c r="M1249" s="287">
        <f t="shared" si="253"/>
        <v>5</v>
      </c>
      <c r="N1249" s="287">
        <f t="shared" si="253"/>
        <v>4798.209460000001</v>
      </c>
      <c r="O1249" s="287">
        <f t="shared" si="253"/>
        <v>0</v>
      </c>
      <c r="P1249" s="287">
        <f t="shared" si="253"/>
        <v>187</v>
      </c>
      <c r="Q1249" s="449">
        <f t="shared" si="253"/>
        <v>4985.209460000001</v>
      </c>
      <c r="R1249" s="449">
        <f t="shared" si="253"/>
        <v>4964.16905</v>
      </c>
      <c r="S1249" s="465">
        <f t="shared" si="244"/>
        <v>99.57794331073102</v>
      </c>
    </row>
    <row r="1250" spans="1:19" ht="15.75" customHeight="1" thickBot="1">
      <c r="A1250" s="195" t="s">
        <v>124</v>
      </c>
      <c r="B1250" s="141" t="s">
        <v>202</v>
      </c>
      <c r="C1250" s="76" t="s">
        <v>196</v>
      </c>
      <c r="D1250" s="76" t="s">
        <v>198</v>
      </c>
      <c r="E1250" s="76" t="s">
        <v>24</v>
      </c>
      <c r="F1250" s="78" t="s">
        <v>238</v>
      </c>
      <c r="G1250" s="89">
        <f>G1333</f>
        <v>4542.297600000001</v>
      </c>
      <c r="H1250" s="82">
        <f>H1333</f>
        <v>4529.47131</v>
      </c>
      <c r="I1250" s="82">
        <f>I1333</f>
        <v>4961.109</v>
      </c>
      <c r="J1250" s="89">
        <f>J1333</f>
        <v>250.91186</v>
      </c>
      <c r="K1250" s="275">
        <f aca="true" t="shared" si="254" ref="K1250:Q1250">K1334+K1335</f>
        <v>4793.209460000001</v>
      </c>
      <c r="L1250" s="275">
        <f t="shared" si="254"/>
        <v>0</v>
      </c>
      <c r="M1250" s="275">
        <f t="shared" si="254"/>
        <v>5</v>
      </c>
      <c r="N1250" s="275">
        <f t="shared" si="254"/>
        <v>4798.209460000001</v>
      </c>
      <c r="O1250" s="275">
        <f t="shared" si="254"/>
        <v>0</v>
      </c>
      <c r="P1250" s="275">
        <f t="shared" si="254"/>
        <v>187</v>
      </c>
      <c r="Q1250" s="448">
        <f t="shared" si="254"/>
        <v>4985.209460000001</v>
      </c>
      <c r="R1250" s="448">
        <v>4964.16905</v>
      </c>
      <c r="S1250" s="444">
        <f t="shared" si="244"/>
        <v>99.57794331073102</v>
      </c>
    </row>
    <row r="1251" spans="1:19" ht="17.25" customHeight="1" hidden="1">
      <c r="A1251" s="46" t="s">
        <v>210</v>
      </c>
      <c r="B1251" s="71" t="s">
        <v>202</v>
      </c>
      <c r="C1251" s="76" t="s">
        <v>196</v>
      </c>
      <c r="D1251" s="76" t="s">
        <v>198</v>
      </c>
      <c r="E1251" s="76" t="s">
        <v>24</v>
      </c>
      <c r="F1251" s="78" t="s">
        <v>426</v>
      </c>
      <c r="G1251" s="96">
        <f aca="true" t="shared" si="255" ref="G1251:K1252">G1252</f>
        <v>4380</v>
      </c>
      <c r="H1251" s="75">
        <f t="shared" si="255"/>
        <v>4380</v>
      </c>
      <c r="I1251" s="75">
        <f t="shared" si="255"/>
        <v>4380</v>
      </c>
      <c r="J1251" s="96">
        <f t="shared" si="255"/>
        <v>4380</v>
      </c>
      <c r="K1251" s="287">
        <f t="shared" si="255"/>
        <v>4380</v>
      </c>
      <c r="L1251" s="313"/>
      <c r="M1251" s="75"/>
      <c r="N1251" s="96"/>
      <c r="O1251" s="96"/>
      <c r="P1251" s="287"/>
      <c r="Q1251" s="449"/>
      <c r="R1251" s="449"/>
      <c r="S1251" s="465" t="e">
        <f t="shared" si="244"/>
        <v>#DIV/0!</v>
      </c>
    </row>
    <row r="1252" spans="1:19" ht="14.25" customHeight="1" hidden="1">
      <c r="A1252" s="46" t="s">
        <v>25</v>
      </c>
      <c r="B1252" s="71" t="s">
        <v>202</v>
      </c>
      <c r="C1252" s="76" t="s">
        <v>196</v>
      </c>
      <c r="D1252" s="76" t="s">
        <v>198</v>
      </c>
      <c r="E1252" s="76" t="s">
        <v>24</v>
      </c>
      <c r="F1252" s="78" t="s">
        <v>426</v>
      </c>
      <c r="G1252" s="96">
        <f t="shared" si="255"/>
        <v>4380</v>
      </c>
      <c r="H1252" s="75">
        <f t="shared" si="255"/>
        <v>4380</v>
      </c>
      <c r="I1252" s="75">
        <f t="shared" si="255"/>
        <v>4380</v>
      </c>
      <c r="J1252" s="96">
        <f t="shared" si="255"/>
        <v>4380</v>
      </c>
      <c r="K1252" s="287">
        <f t="shared" si="255"/>
        <v>4380</v>
      </c>
      <c r="L1252" s="313"/>
      <c r="M1252" s="75"/>
      <c r="N1252" s="96"/>
      <c r="O1252" s="96"/>
      <c r="P1252" s="287"/>
      <c r="Q1252" s="449"/>
      <c r="R1252" s="449"/>
      <c r="S1252" s="465" t="e">
        <f t="shared" si="244"/>
        <v>#DIV/0!</v>
      </c>
    </row>
    <row r="1253" spans="1:19" ht="14.25" customHeight="1" hidden="1">
      <c r="A1253" s="46" t="s">
        <v>26</v>
      </c>
      <c r="B1253" s="71" t="s">
        <v>202</v>
      </c>
      <c r="C1253" s="76" t="s">
        <v>196</v>
      </c>
      <c r="D1253" s="76" t="s">
        <v>198</v>
      </c>
      <c r="E1253" s="76" t="s">
        <v>24</v>
      </c>
      <c r="F1253" s="78" t="s">
        <v>426</v>
      </c>
      <c r="G1253" s="96">
        <v>4380</v>
      </c>
      <c r="H1253" s="75">
        <v>4380</v>
      </c>
      <c r="I1253" s="75">
        <v>4380</v>
      </c>
      <c r="J1253" s="96">
        <v>4380</v>
      </c>
      <c r="K1253" s="287">
        <v>4380</v>
      </c>
      <c r="L1253" s="313"/>
      <c r="M1253" s="75"/>
      <c r="N1253" s="96"/>
      <c r="O1253" s="96"/>
      <c r="P1253" s="287"/>
      <c r="Q1253" s="449"/>
      <c r="R1253" s="449"/>
      <c r="S1253" s="465" t="e">
        <f t="shared" si="244"/>
        <v>#DIV/0!</v>
      </c>
    </row>
    <row r="1254" spans="1:19" ht="14.25" customHeight="1" hidden="1">
      <c r="A1254" s="46" t="s">
        <v>27</v>
      </c>
      <c r="B1254" s="71" t="s">
        <v>202</v>
      </c>
      <c r="C1254" s="72" t="s">
        <v>196</v>
      </c>
      <c r="D1254" s="72" t="s">
        <v>203</v>
      </c>
      <c r="E1254" s="72" t="s">
        <v>200</v>
      </c>
      <c r="F1254" s="74" t="s">
        <v>201</v>
      </c>
      <c r="G1254" s="96">
        <f>G1255+G1274</f>
        <v>0</v>
      </c>
      <c r="H1254" s="75">
        <f>H1255+H1274</f>
        <v>0</v>
      </c>
      <c r="I1254" s="75">
        <f>I1255+I1274</f>
        <v>0</v>
      </c>
      <c r="J1254" s="96">
        <f>J1255+J1274</f>
        <v>0</v>
      </c>
      <c r="K1254" s="287">
        <f>K1255+K1274</f>
        <v>0</v>
      </c>
      <c r="L1254" s="313"/>
      <c r="M1254" s="75"/>
      <c r="N1254" s="96"/>
      <c r="O1254" s="96"/>
      <c r="P1254" s="287"/>
      <c r="Q1254" s="449"/>
      <c r="R1254" s="449"/>
      <c r="S1254" s="465" t="e">
        <f t="shared" si="244"/>
        <v>#DIV/0!</v>
      </c>
    </row>
    <row r="1255" spans="1:19" ht="14.25" customHeight="1" hidden="1">
      <c r="A1255" s="46" t="s">
        <v>27</v>
      </c>
      <c r="B1255" s="71" t="s">
        <v>202</v>
      </c>
      <c r="C1255" s="72" t="s">
        <v>196</v>
      </c>
      <c r="D1255" s="72" t="s">
        <v>203</v>
      </c>
      <c r="E1255" s="72" t="s">
        <v>28</v>
      </c>
      <c r="F1255" s="74" t="s">
        <v>201</v>
      </c>
      <c r="G1255" s="96">
        <f>G1256</f>
        <v>0</v>
      </c>
      <c r="H1255" s="75">
        <f>H1256</f>
        <v>0</v>
      </c>
      <c r="I1255" s="75">
        <f>I1256</f>
        <v>0</v>
      </c>
      <c r="J1255" s="96">
        <f>J1256</f>
        <v>0</v>
      </c>
      <c r="K1255" s="287">
        <f>K1256</f>
        <v>0</v>
      </c>
      <c r="L1255" s="313"/>
      <c r="M1255" s="75"/>
      <c r="N1255" s="96"/>
      <c r="O1255" s="96"/>
      <c r="P1255" s="287"/>
      <c r="Q1255" s="449"/>
      <c r="R1255" s="449"/>
      <c r="S1255" s="465" t="e">
        <f t="shared" si="244"/>
        <v>#DIV/0!</v>
      </c>
    </row>
    <row r="1256" spans="1:19" ht="14.25" customHeight="1" hidden="1">
      <c r="A1256" s="46" t="s">
        <v>27</v>
      </c>
      <c r="B1256" s="71" t="s">
        <v>202</v>
      </c>
      <c r="C1256" s="72" t="s">
        <v>196</v>
      </c>
      <c r="D1256" s="72" t="s">
        <v>203</v>
      </c>
      <c r="E1256" s="72" t="s">
        <v>28</v>
      </c>
      <c r="F1256" s="74" t="s">
        <v>417</v>
      </c>
      <c r="G1256" s="96">
        <f>G1257+G1261+G1269+G1268</f>
        <v>0</v>
      </c>
      <c r="H1256" s="75">
        <f>H1257+H1261+H1269+H1268</f>
        <v>0</v>
      </c>
      <c r="I1256" s="75">
        <f>I1257+I1261+I1269+I1268</f>
        <v>0</v>
      </c>
      <c r="J1256" s="96">
        <f>J1257+J1261+J1269+J1268</f>
        <v>0</v>
      </c>
      <c r="K1256" s="287">
        <f>K1257+K1261+K1269+K1268</f>
        <v>0</v>
      </c>
      <c r="L1256" s="313"/>
      <c r="M1256" s="75"/>
      <c r="N1256" s="96"/>
      <c r="O1256" s="96"/>
      <c r="P1256" s="287"/>
      <c r="Q1256" s="449"/>
      <c r="R1256" s="449"/>
      <c r="S1256" s="465" t="e">
        <f t="shared" si="244"/>
        <v>#DIV/0!</v>
      </c>
    </row>
    <row r="1257" spans="1:19" ht="14.25" customHeight="1" hidden="1">
      <c r="A1257" s="46" t="s">
        <v>27</v>
      </c>
      <c r="B1257" s="71" t="s">
        <v>202</v>
      </c>
      <c r="C1257" s="72" t="s">
        <v>196</v>
      </c>
      <c r="D1257" s="72" t="s">
        <v>203</v>
      </c>
      <c r="E1257" s="72" t="s">
        <v>28</v>
      </c>
      <c r="F1257" s="74" t="s">
        <v>417</v>
      </c>
      <c r="G1257" s="96">
        <f>G1258+G1259+G1260</f>
        <v>0</v>
      </c>
      <c r="H1257" s="75">
        <f>H1258+H1259+H1260</f>
        <v>0</v>
      </c>
      <c r="I1257" s="75">
        <f>I1258+I1259+I1260</f>
        <v>0</v>
      </c>
      <c r="J1257" s="96">
        <f>J1258+J1259+J1260</f>
        <v>0</v>
      </c>
      <c r="K1257" s="287">
        <f>K1258+K1259+K1260</f>
        <v>0</v>
      </c>
      <c r="L1257" s="313"/>
      <c r="M1257" s="75"/>
      <c r="N1257" s="96"/>
      <c r="O1257" s="96"/>
      <c r="P1257" s="287"/>
      <c r="Q1257" s="449"/>
      <c r="R1257" s="449"/>
      <c r="S1257" s="465" t="e">
        <f t="shared" si="244"/>
        <v>#DIV/0!</v>
      </c>
    </row>
    <row r="1258" spans="1:19" ht="14.25" customHeight="1" hidden="1">
      <c r="A1258" s="46" t="s">
        <v>27</v>
      </c>
      <c r="B1258" s="71" t="s">
        <v>202</v>
      </c>
      <c r="C1258" s="72" t="s">
        <v>196</v>
      </c>
      <c r="D1258" s="72" t="s">
        <v>203</v>
      </c>
      <c r="E1258" s="72" t="s">
        <v>28</v>
      </c>
      <c r="F1258" s="74" t="s">
        <v>417</v>
      </c>
      <c r="G1258" s="96"/>
      <c r="H1258" s="75"/>
      <c r="I1258" s="75"/>
      <c r="J1258" s="96"/>
      <c r="K1258" s="287"/>
      <c r="L1258" s="313"/>
      <c r="M1258" s="75"/>
      <c r="N1258" s="96"/>
      <c r="O1258" s="96"/>
      <c r="P1258" s="287"/>
      <c r="Q1258" s="449"/>
      <c r="R1258" s="449"/>
      <c r="S1258" s="465" t="e">
        <f t="shared" si="244"/>
        <v>#DIV/0!</v>
      </c>
    </row>
    <row r="1259" spans="1:19" ht="14.25" customHeight="1" hidden="1">
      <c r="A1259" s="46" t="s">
        <v>27</v>
      </c>
      <c r="B1259" s="71" t="s">
        <v>202</v>
      </c>
      <c r="C1259" s="72" t="s">
        <v>196</v>
      </c>
      <c r="D1259" s="72" t="s">
        <v>203</v>
      </c>
      <c r="E1259" s="72" t="s">
        <v>28</v>
      </c>
      <c r="F1259" s="74" t="s">
        <v>417</v>
      </c>
      <c r="G1259" s="96"/>
      <c r="H1259" s="75"/>
      <c r="I1259" s="75"/>
      <c r="J1259" s="96"/>
      <c r="K1259" s="287"/>
      <c r="L1259" s="313"/>
      <c r="M1259" s="75"/>
      <c r="N1259" s="96"/>
      <c r="O1259" s="96"/>
      <c r="P1259" s="287"/>
      <c r="Q1259" s="449"/>
      <c r="R1259" s="449"/>
      <c r="S1259" s="465" t="e">
        <f t="shared" si="244"/>
        <v>#DIV/0!</v>
      </c>
    </row>
    <row r="1260" spans="1:19" ht="14.25" customHeight="1" hidden="1">
      <c r="A1260" s="46" t="s">
        <v>27</v>
      </c>
      <c r="B1260" s="71" t="s">
        <v>202</v>
      </c>
      <c r="C1260" s="72" t="s">
        <v>196</v>
      </c>
      <c r="D1260" s="72" t="s">
        <v>203</v>
      </c>
      <c r="E1260" s="72" t="s">
        <v>28</v>
      </c>
      <c r="F1260" s="74" t="s">
        <v>417</v>
      </c>
      <c r="G1260" s="96"/>
      <c r="H1260" s="75"/>
      <c r="I1260" s="75"/>
      <c r="J1260" s="96"/>
      <c r="K1260" s="287"/>
      <c r="L1260" s="313"/>
      <c r="M1260" s="75"/>
      <c r="N1260" s="96"/>
      <c r="O1260" s="96"/>
      <c r="P1260" s="287"/>
      <c r="Q1260" s="449"/>
      <c r="R1260" s="449"/>
      <c r="S1260" s="465" t="e">
        <f t="shared" si="244"/>
        <v>#DIV/0!</v>
      </c>
    </row>
    <row r="1261" spans="1:19" ht="14.25" customHeight="1" hidden="1">
      <c r="A1261" s="46" t="s">
        <v>27</v>
      </c>
      <c r="B1261" s="71" t="s">
        <v>202</v>
      </c>
      <c r="C1261" s="72" t="s">
        <v>196</v>
      </c>
      <c r="D1261" s="72" t="s">
        <v>203</v>
      </c>
      <c r="E1261" s="72" t="s">
        <v>28</v>
      </c>
      <c r="F1261" s="74" t="s">
        <v>417</v>
      </c>
      <c r="G1261" s="96">
        <f>G1262+G1263+G1264+G1265+G1266+G1267</f>
        <v>0</v>
      </c>
      <c r="H1261" s="75">
        <f>H1262+H1263+H1264+H1265+H1266+H1267</f>
        <v>0</v>
      </c>
      <c r="I1261" s="75">
        <f>I1262+I1263+I1264+I1265+I1266+I1267</f>
        <v>0</v>
      </c>
      <c r="J1261" s="96">
        <f>J1262+J1263+J1264+J1265+J1266+J1267</f>
        <v>0</v>
      </c>
      <c r="K1261" s="287">
        <f>K1262+K1263+K1264+K1265+K1266+K1267</f>
        <v>0</v>
      </c>
      <c r="L1261" s="313"/>
      <c r="M1261" s="75"/>
      <c r="N1261" s="96"/>
      <c r="O1261" s="96"/>
      <c r="P1261" s="287"/>
      <c r="Q1261" s="449"/>
      <c r="R1261" s="449"/>
      <c r="S1261" s="465" t="e">
        <f t="shared" si="244"/>
        <v>#DIV/0!</v>
      </c>
    </row>
    <row r="1262" spans="1:19" ht="14.25" customHeight="1" hidden="1">
      <c r="A1262" s="46" t="s">
        <v>27</v>
      </c>
      <c r="B1262" s="71" t="s">
        <v>202</v>
      </c>
      <c r="C1262" s="72" t="s">
        <v>196</v>
      </c>
      <c r="D1262" s="72" t="s">
        <v>203</v>
      </c>
      <c r="E1262" s="72" t="s">
        <v>28</v>
      </c>
      <c r="F1262" s="74" t="s">
        <v>417</v>
      </c>
      <c r="G1262" s="96"/>
      <c r="H1262" s="75"/>
      <c r="I1262" s="75"/>
      <c r="J1262" s="96"/>
      <c r="K1262" s="287"/>
      <c r="L1262" s="313"/>
      <c r="M1262" s="75"/>
      <c r="N1262" s="96"/>
      <c r="O1262" s="96"/>
      <c r="P1262" s="287"/>
      <c r="Q1262" s="449"/>
      <c r="R1262" s="449"/>
      <c r="S1262" s="465" t="e">
        <f t="shared" si="244"/>
        <v>#DIV/0!</v>
      </c>
    </row>
    <row r="1263" spans="1:19" ht="14.25" customHeight="1" hidden="1">
      <c r="A1263" s="46" t="s">
        <v>27</v>
      </c>
      <c r="B1263" s="71" t="s">
        <v>202</v>
      </c>
      <c r="C1263" s="72" t="s">
        <v>196</v>
      </c>
      <c r="D1263" s="72" t="s">
        <v>203</v>
      </c>
      <c r="E1263" s="72" t="s">
        <v>28</v>
      </c>
      <c r="F1263" s="74" t="s">
        <v>417</v>
      </c>
      <c r="G1263" s="96"/>
      <c r="H1263" s="75"/>
      <c r="I1263" s="75"/>
      <c r="J1263" s="96"/>
      <c r="K1263" s="287"/>
      <c r="L1263" s="313"/>
      <c r="M1263" s="75"/>
      <c r="N1263" s="96"/>
      <c r="O1263" s="96"/>
      <c r="P1263" s="287"/>
      <c r="Q1263" s="449"/>
      <c r="R1263" s="449"/>
      <c r="S1263" s="465" t="e">
        <f t="shared" si="244"/>
        <v>#DIV/0!</v>
      </c>
    </row>
    <row r="1264" spans="1:19" ht="14.25" customHeight="1" hidden="1">
      <c r="A1264" s="46" t="s">
        <v>27</v>
      </c>
      <c r="B1264" s="71" t="s">
        <v>202</v>
      </c>
      <c r="C1264" s="72" t="s">
        <v>196</v>
      </c>
      <c r="D1264" s="72" t="s">
        <v>203</v>
      </c>
      <c r="E1264" s="72" t="s">
        <v>28</v>
      </c>
      <c r="F1264" s="74" t="s">
        <v>417</v>
      </c>
      <c r="G1264" s="96"/>
      <c r="H1264" s="75"/>
      <c r="I1264" s="75"/>
      <c r="J1264" s="96"/>
      <c r="K1264" s="287"/>
      <c r="L1264" s="313"/>
      <c r="M1264" s="75"/>
      <c r="N1264" s="96"/>
      <c r="O1264" s="96"/>
      <c r="P1264" s="287"/>
      <c r="Q1264" s="449"/>
      <c r="R1264" s="449"/>
      <c r="S1264" s="465" t="e">
        <f t="shared" si="244"/>
        <v>#DIV/0!</v>
      </c>
    </row>
    <row r="1265" spans="1:19" ht="14.25" customHeight="1" hidden="1">
      <c r="A1265" s="46" t="s">
        <v>27</v>
      </c>
      <c r="B1265" s="71" t="s">
        <v>202</v>
      </c>
      <c r="C1265" s="72" t="s">
        <v>196</v>
      </c>
      <c r="D1265" s="72" t="s">
        <v>203</v>
      </c>
      <c r="E1265" s="72" t="s">
        <v>28</v>
      </c>
      <c r="F1265" s="74" t="s">
        <v>417</v>
      </c>
      <c r="G1265" s="96"/>
      <c r="H1265" s="75"/>
      <c r="I1265" s="75"/>
      <c r="J1265" s="96"/>
      <c r="K1265" s="287"/>
      <c r="L1265" s="313"/>
      <c r="M1265" s="75"/>
      <c r="N1265" s="96"/>
      <c r="O1265" s="96"/>
      <c r="P1265" s="287"/>
      <c r="Q1265" s="449"/>
      <c r="R1265" s="449"/>
      <c r="S1265" s="465" t="e">
        <f t="shared" si="244"/>
        <v>#DIV/0!</v>
      </c>
    </row>
    <row r="1266" spans="1:19" ht="14.25" customHeight="1" hidden="1">
      <c r="A1266" s="46" t="s">
        <v>27</v>
      </c>
      <c r="B1266" s="71" t="s">
        <v>202</v>
      </c>
      <c r="C1266" s="72" t="s">
        <v>196</v>
      </c>
      <c r="D1266" s="72" t="s">
        <v>203</v>
      </c>
      <c r="E1266" s="72" t="s">
        <v>28</v>
      </c>
      <c r="F1266" s="74" t="s">
        <v>417</v>
      </c>
      <c r="G1266" s="96"/>
      <c r="H1266" s="75"/>
      <c r="I1266" s="75"/>
      <c r="J1266" s="96"/>
      <c r="K1266" s="287"/>
      <c r="L1266" s="313"/>
      <c r="M1266" s="75"/>
      <c r="N1266" s="96"/>
      <c r="O1266" s="96"/>
      <c r="P1266" s="287"/>
      <c r="Q1266" s="449"/>
      <c r="R1266" s="449"/>
      <c r="S1266" s="465" t="e">
        <f t="shared" si="244"/>
        <v>#DIV/0!</v>
      </c>
    </row>
    <row r="1267" spans="1:19" ht="14.25" customHeight="1" hidden="1">
      <c r="A1267" s="46" t="s">
        <v>27</v>
      </c>
      <c r="B1267" s="71" t="s">
        <v>202</v>
      </c>
      <c r="C1267" s="72" t="s">
        <v>196</v>
      </c>
      <c r="D1267" s="72" t="s">
        <v>203</v>
      </c>
      <c r="E1267" s="72" t="s">
        <v>28</v>
      </c>
      <c r="F1267" s="74" t="s">
        <v>417</v>
      </c>
      <c r="G1267" s="96"/>
      <c r="H1267" s="75"/>
      <c r="I1267" s="75"/>
      <c r="J1267" s="96"/>
      <c r="K1267" s="287"/>
      <c r="L1267" s="313"/>
      <c r="M1267" s="75"/>
      <c r="N1267" s="96"/>
      <c r="O1267" s="96"/>
      <c r="P1267" s="287"/>
      <c r="Q1267" s="449"/>
      <c r="R1267" s="449"/>
      <c r="S1267" s="465" t="e">
        <f t="shared" si="244"/>
        <v>#DIV/0!</v>
      </c>
    </row>
    <row r="1268" spans="1:19" ht="14.25" customHeight="1" hidden="1">
      <c r="A1268" s="46" t="s">
        <v>27</v>
      </c>
      <c r="B1268" s="71" t="s">
        <v>202</v>
      </c>
      <c r="C1268" s="72" t="s">
        <v>196</v>
      </c>
      <c r="D1268" s="72" t="s">
        <v>203</v>
      </c>
      <c r="E1268" s="72" t="s">
        <v>28</v>
      </c>
      <c r="F1268" s="74" t="s">
        <v>417</v>
      </c>
      <c r="G1268" s="96"/>
      <c r="H1268" s="75"/>
      <c r="I1268" s="75"/>
      <c r="J1268" s="96"/>
      <c r="K1268" s="287"/>
      <c r="L1268" s="313"/>
      <c r="M1268" s="75"/>
      <c r="N1268" s="96"/>
      <c r="O1268" s="96"/>
      <c r="P1268" s="287"/>
      <c r="Q1268" s="449"/>
      <c r="R1268" s="449"/>
      <c r="S1268" s="465" t="e">
        <f t="shared" si="244"/>
        <v>#DIV/0!</v>
      </c>
    </row>
    <row r="1269" spans="1:19" ht="14.25" customHeight="1" hidden="1">
      <c r="A1269" s="46" t="s">
        <v>27</v>
      </c>
      <c r="B1269" s="71" t="s">
        <v>202</v>
      </c>
      <c r="C1269" s="72" t="s">
        <v>196</v>
      </c>
      <c r="D1269" s="72" t="s">
        <v>203</v>
      </c>
      <c r="E1269" s="72" t="s">
        <v>28</v>
      </c>
      <c r="F1269" s="74" t="s">
        <v>417</v>
      </c>
      <c r="G1269" s="96">
        <f>G1270+G1271</f>
        <v>0</v>
      </c>
      <c r="H1269" s="75">
        <f>H1270+H1271</f>
        <v>0</v>
      </c>
      <c r="I1269" s="75">
        <f>I1270+I1271</f>
        <v>0</v>
      </c>
      <c r="J1269" s="96">
        <f>J1270+J1271</f>
        <v>0</v>
      </c>
      <c r="K1269" s="287">
        <f>K1270+K1271</f>
        <v>0</v>
      </c>
      <c r="L1269" s="313"/>
      <c r="M1269" s="75"/>
      <c r="N1269" s="96"/>
      <c r="O1269" s="96"/>
      <c r="P1269" s="287"/>
      <c r="Q1269" s="449"/>
      <c r="R1269" s="449"/>
      <c r="S1269" s="465" t="e">
        <f t="shared" si="244"/>
        <v>#DIV/0!</v>
      </c>
    </row>
    <row r="1270" spans="1:19" ht="14.25" customHeight="1" hidden="1">
      <c r="A1270" s="46" t="s">
        <v>27</v>
      </c>
      <c r="B1270" s="71" t="s">
        <v>202</v>
      </c>
      <c r="C1270" s="72" t="s">
        <v>196</v>
      </c>
      <c r="D1270" s="72" t="s">
        <v>203</v>
      </c>
      <c r="E1270" s="72" t="s">
        <v>28</v>
      </c>
      <c r="F1270" s="74" t="s">
        <v>417</v>
      </c>
      <c r="G1270" s="96"/>
      <c r="H1270" s="75"/>
      <c r="I1270" s="75"/>
      <c r="J1270" s="96"/>
      <c r="K1270" s="287"/>
      <c r="L1270" s="313"/>
      <c r="M1270" s="75"/>
      <c r="N1270" s="96"/>
      <c r="O1270" s="96"/>
      <c r="P1270" s="287"/>
      <c r="Q1270" s="449"/>
      <c r="R1270" s="449"/>
      <c r="S1270" s="465" t="e">
        <f t="shared" si="244"/>
        <v>#DIV/0!</v>
      </c>
    </row>
    <row r="1271" spans="1:19" ht="14.25" customHeight="1" hidden="1">
      <c r="A1271" s="46" t="s">
        <v>27</v>
      </c>
      <c r="B1271" s="71" t="s">
        <v>202</v>
      </c>
      <c r="C1271" s="72" t="s">
        <v>196</v>
      </c>
      <c r="D1271" s="72" t="s">
        <v>203</v>
      </c>
      <c r="E1271" s="72" t="s">
        <v>28</v>
      </c>
      <c r="F1271" s="74" t="s">
        <v>417</v>
      </c>
      <c r="G1271" s="96"/>
      <c r="H1271" s="75"/>
      <c r="I1271" s="75"/>
      <c r="J1271" s="96"/>
      <c r="K1271" s="287"/>
      <c r="L1271" s="313"/>
      <c r="M1271" s="75"/>
      <c r="N1271" s="96"/>
      <c r="O1271" s="96"/>
      <c r="P1271" s="287"/>
      <c r="Q1271" s="449"/>
      <c r="R1271" s="449"/>
      <c r="S1271" s="465" t="e">
        <f t="shared" si="244"/>
        <v>#DIV/0!</v>
      </c>
    </row>
    <row r="1272" spans="1:19" ht="14.25" customHeight="1" hidden="1">
      <c r="A1272" s="46"/>
      <c r="B1272" s="71" t="s">
        <v>202</v>
      </c>
      <c r="C1272" s="72"/>
      <c r="D1272" s="72"/>
      <c r="E1272" s="72"/>
      <c r="F1272" s="74"/>
      <c r="G1272" s="96"/>
      <c r="H1272" s="75"/>
      <c r="I1272" s="75"/>
      <c r="J1272" s="96"/>
      <c r="K1272" s="287"/>
      <c r="L1272" s="313"/>
      <c r="M1272" s="75"/>
      <c r="N1272" s="96"/>
      <c r="O1272" s="96"/>
      <c r="P1272" s="287"/>
      <c r="Q1272" s="449"/>
      <c r="R1272" s="449"/>
      <c r="S1272" s="465" t="e">
        <f t="shared" si="244"/>
        <v>#DIV/0!</v>
      </c>
    </row>
    <row r="1273" spans="1:19" ht="14.25" customHeight="1" hidden="1">
      <c r="A1273" s="46"/>
      <c r="B1273" s="71" t="s">
        <v>202</v>
      </c>
      <c r="C1273" s="72"/>
      <c r="D1273" s="72"/>
      <c r="E1273" s="72"/>
      <c r="F1273" s="74"/>
      <c r="G1273" s="96"/>
      <c r="H1273" s="75"/>
      <c r="I1273" s="75"/>
      <c r="J1273" s="96"/>
      <c r="K1273" s="287"/>
      <c r="L1273" s="313"/>
      <c r="M1273" s="75"/>
      <c r="N1273" s="96"/>
      <c r="O1273" s="96"/>
      <c r="P1273" s="287"/>
      <c r="Q1273" s="449"/>
      <c r="R1273" s="449"/>
      <c r="S1273" s="465" t="e">
        <f t="shared" si="244"/>
        <v>#DIV/0!</v>
      </c>
    </row>
    <row r="1274" spans="1:19" ht="14.25" customHeight="1" hidden="1">
      <c r="A1274" s="46" t="s">
        <v>29</v>
      </c>
      <c r="B1274" s="71" t="s">
        <v>202</v>
      </c>
      <c r="C1274" s="72" t="s">
        <v>196</v>
      </c>
      <c r="D1274" s="72" t="s">
        <v>203</v>
      </c>
      <c r="E1274" s="72" t="s">
        <v>30</v>
      </c>
      <c r="F1274" s="74" t="s">
        <v>263</v>
      </c>
      <c r="G1274" s="96">
        <f>G1275</f>
        <v>0</v>
      </c>
      <c r="H1274" s="75">
        <f>H1275</f>
        <v>0</v>
      </c>
      <c r="I1274" s="75">
        <f>I1275</f>
        <v>0</v>
      </c>
      <c r="J1274" s="96">
        <f>J1275</f>
        <v>0</v>
      </c>
      <c r="K1274" s="287">
        <f>K1275</f>
        <v>0</v>
      </c>
      <c r="L1274" s="313"/>
      <c r="M1274" s="75"/>
      <c r="N1274" s="96"/>
      <c r="O1274" s="96"/>
      <c r="P1274" s="287"/>
      <c r="Q1274" s="449"/>
      <c r="R1274" s="449"/>
      <c r="S1274" s="465" t="e">
        <f t="shared" si="244"/>
        <v>#DIV/0!</v>
      </c>
    </row>
    <row r="1275" spans="1:19" ht="14.25" customHeight="1" hidden="1">
      <c r="A1275" s="46" t="s">
        <v>396</v>
      </c>
      <c r="B1275" s="71" t="s">
        <v>202</v>
      </c>
      <c r="C1275" s="72" t="s">
        <v>196</v>
      </c>
      <c r="D1275" s="72" t="s">
        <v>203</v>
      </c>
      <c r="E1275" s="72" t="s">
        <v>30</v>
      </c>
      <c r="F1275" s="74" t="s">
        <v>417</v>
      </c>
      <c r="G1275" s="96">
        <f>G1276+G1280+G1288+G1287</f>
        <v>0</v>
      </c>
      <c r="H1275" s="75">
        <f>H1276+H1280+H1288+H1287</f>
        <v>0</v>
      </c>
      <c r="I1275" s="75">
        <f>I1276+I1280+I1288+I1287</f>
        <v>0</v>
      </c>
      <c r="J1275" s="96">
        <f>J1276+J1280+J1288+J1287</f>
        <v>0</v>
      </c>
      <c r="K1275" s="287">
        <f>K1276+K1280+K1288+K1287</f>
        <v>0</v>
      </c>
      <c r="L1275" s="313"/>
      <c r="M1275" s="75"/>
      <c r="N1275" s="96"/>
      <c r="O1275" s="96"/>
      <c r="P1275" s="287"/>
      <c r="Q1275" s="449"/>
      <c r="R1275" s="449"/>
      <c r="S1275" s="465" t="e">
        <f t="shared" si="244"/>
        <v>#DIV/0!</v>
      </c>
    </row>
    <row r="1276" spans="1:19" ht="14.25" customHeight="1" hidden="1">
      <c r="A1276" s="46" t="s">
        <v>211</v>
      </c>
      <c r="B1276" s="71" t="s">
        <v>202</v>
      </c>
      <c r="C1276" s="72" t="s">
        <v>196</v>
      </c>
      <c r="D1276" s="72" t="s">
        <v>203</v>
      </c>
      <c r="E1276" s="72" t="s">
        <v>30</v>
      </c>
      <c r="F1276" s="74" t="s">
        <v>417</v>
      </c>
      <c r="G1276" s="96">
        <f>G1277+G1278+G1279</f>
        <v>0</v>
      </c>
      <c r="H1276" s="75">
        <f>H1277+H1278+H1279</f>
        <v>0</v>
      </c>
      <c r="I1276" s="75">
        <f>I1277+I1278+I1279</f>
        <v>0</v>
      </c>
      <c r="J1276" s="96">
        <f>J1277+J1278+J1279</f>
        <v>0</v>
      </c>
      <c r="K1276" s="287">
        <f>K1277+K1278+K1279</f>
        <v>0</v>
      </c>
      <c r="L1276" s="313"/>
      <c r="M1276" s="75"/>
      <c r="N1276" s="96"/>
      <c r="O1276" s="96"/>
      <c r="P1276" s="287"/>
      <c r="Q1276" s="449"/>
      <c r="R1276" s="449"/>
      <c r="S1276" s="465" t="e">
        <f t="shared" si="244"/>
        <v>#DIV/0!</v>
      </c>
    </row>
    <row r="1277" spans="1:19" ht="14.25" customHeight="1" hidden="1">
      <c r="A1277" s="46" t="s">
        <v>212</v>
      </c>
      <c r="B1277" s="71" t="s">
        <v>202</v>
      </c>
      <c r="C1277" s="72" t="s">
        <v>196</v>
      </c>
      <c r="D1277" s="72" t="s">
        <v>203</v>
      </c>
      <c r="E1277" s="72" t="s">
        <v>30</v>
      </c>
      <c r="F1277" s="74" t="s">
        <v>417</v>
      </c>
      <c r="G1277" s="96"/>
      <c r="H1277" s="75"/>
      <c r="I1277" s="75"/>
      <c r="J1277" s="96"/>
      <c r="K1277" s="287"/>
      <c r="L1277" s="313"/>
      <c r="M1277" s="75"/>
      <c r="N1277" s="96"/>
      <c r="O1277" s="96"/>
      <c r="P1277" s="287"/>
      <c r="Q1277" s="449"/>
      <c r="R1277" s="449"/>
      <c r="S1277" s="465" t="e">
        <f t="shared" si="244"/>
        <v>#DIV/0!</v>
      </c>
    </row>
    <row r="1278" spans="1:19" ht="14.25" customHeight="1" hidden="1">
      <c r="A1278" s="46" t="s">
        <v>213</v>
      </c>
      <c r="B1278" s="71" t="s">
        <v>202</v>
      </c>
      <c r="C1278" s="72" t="s">
        <v>196</v>
      </c>
      <c r="D1278" s="72" t="s">
        <v>203</v>
      </c>
      <c r="E1278" s="72" t="s">
        <v>30</v>
      </c>
      <c r="F1278" s="74" t="s">
        <v>417</v>
      </c>
      <c r="G1278" s="96"/>
      <c r="H1278" s="75"/>
      <c r="I1278" s="75"/>
      <c r="J1278" s="96"/>
      <c r="K1278" s="287"/>
      <c r="L1278" s="313"/>
      <c r="M1278" s="75"/>
      <c r="N1278" s="96"/>
      <c r="O1278" s="96"/>
      <c r="P1278" s="287"/>
      <c r="Q1278" s="449"/>
      <c r="R1278" s="449"/>
      <c r="S1278" s="465" t="e">
        <f t="shared" si="244"/>
        <v>#DIV/0!</v>
      </c>
    </row>
    <row r="1279" spans="1:19" ht="14.25" customHeight="1" hidden="1">
      <c r="A1279" s="46" t="s">
        <v>214</v>
      </c>
      <c r="B1279" s="71" t="s">
        <v>202</v>
      </c>
      <c r="C1279" s="72" t="s">
        <v>196</v>
      </c>
      <c r="D1279" s="72" t="s">
        <v>203</v>
      </c>
      <c r="E1279" s="72" t="s">
        <v>30</v>
      </c>
      <c r="F1279" s="74" t="s">
        <v>417</v>
      </c>
      <c r="G1279" s="96"/>
      <c r="H1279" s="75"/>
      <c r="I1279" s="75"/>
      <c r="J1279" s="96"/>
      <c r="K1279" s="287"/>
      <c r="L1279" s="313"/>
      <c r="M1279" s="75"/>
      <c r="N1279" s="96"/>
      <c r="O1279" s="96"/>
      <c r="P1279" s="287"/>
      <c r="Q1279" s="449"/>
      <c r="R1279" s="449"/>
      <c r="S1279" s="465" t="e">
        <f t="shared" si="244"/>
        <v>#DIV/0!</v>
      </c>
    </row>
    <row r="1280" spans="1:19" ht="14.25" customHeight="1" hidden="1">
      <c r="A1280" s="46" t="s">
        <v>222</v>
      </c>
      <c r="B1280" s="71" t="s">
        <v>202</v>
      </c>
      <c r="C1280" s="72" t="s">
        <v>196</v>
      </c>
      <c r="D1280" s="72" t="s">
        <v>203</v>
      </c>
      <c r="E1280" s="72" t="s">
        <v>30</v>
      </c>
      <c r="F1280" s="74" t="s">
        <v>417</v>
      </c>
      <c r="G1280" s="96">
        <f>G1281+G1282+G1283+G1284+G1285+G1286</f>
        <v>0</v>
      </c>
      <c r="H1280" s="75">
        <f>H1281+H1282+H1283+H1284+H1285+H1286</f>
        <v>0</v>
      </c>
      <c r="I1280" s="75">
        <f>I1281+I1282+I1283+I1284+I1285+I1286</f>
        <v>0</v>
      </c>
      <c r="J1280" s="96">
        <f>J1281+J1282+J1283+J1284+J1285+J1286</f>
        <v>0</v>
      </c>
      <c r="K1280" s="287">
        <f>K1281+K1282+K1283+K1284+K1285+K1286</f>
        <v>0</v>
      </c>
      <c r="L1280" s="313"/>
      <c r="M1280" s="75"/>
      <c r="N1280" s="96"/>
      <c r="O1280" s="96"/>
      <c r="P1280" s="287"/>
      <c r="Q1280" s="449"/>
      <c r="R1280" s="449"/>
      <c r="S1280" s="465" t="e">
        <f t="shared" si="244"/>
        <v>#DIV/0!</v>
      </c>
    </row>
    <row r="1281" spans="1:19" ht="14.25" customHeight="1" hidden="1">
      <c r="A1281" s="46" t="s">
        <v>223</v>
      </c>
      <c r="B1281" s="71" t="s">
        <v>202</v>
      </c>
      <c r="C1281" s="72" t="s">
        <v>196</v>
      </c>
      <c r="D1281" s="72" t="s">
        <v>203</v>
      </c>
      <c r="E1281" s="72" t="s">
        <v>30</v>
      </c>
      <c r="F1281" s="74" t="s">
        <v>417</v>
      </c>
      <c r="G1281" s="96"/>
      <c r="H1281" s="75"/>
      <c r="I1281" s="75"/>
      <c r="J1281" s="96"/>
      <c r="K1281" s="287"/>
      <c r="L1281" s="313"/>
      <c r="M1281" s="75"/>
      <c r="N1281" s="96"/>
      <c r="O1281" s="96"/>
      <c r="P1281" s="287"/>
      <c r="Q1281" s="449"/>
      <c r="R1281" s="449"/>
      <c r="S1281" s="465" t="e">
        <f t="shared" si="244"/>
        <v>#DIV/0!</v>
      </c>
    </row>
    <row r="1282" spans="1:19" ht="14.25" customHeight="1" hidden="1">
      <c r="A1282" s="46" t="s">
        <v>224</v>
      </c>
      <c r="B1282" s="71" t="s">
        <v>202</v>
      </c>
      <c r="C1282" s="72" t="s">
        <v>196</v>
      </c>
      <c r="D1282" s="72" t="s">
        <v>203</v>
      </c>
      <c r="E1282" s="72" t="s">
        <v>30</v>
      </c>
      <c r="F1282" s="74" t="s">
        <v>417</v>
      </c>
      <c r="G1282" s="96"/>
      <c r="H1282" s="75"/>
      <c r="I1282" s="75"/>
      <c r="J1282" s="96"/>
      <c r="K1282" s="287"/>
      <c r="L1282" s="313"/>
      <c r="M1282" s="75"/>
      <c r="N1282" s="96"/>
      <c r="O1282" s="96"/>
      <c r="P1282" s="287"/>
      <c r="Q1282" s="449"/>
      <c r="R1282" s="449"/>
      <c r="S1282" s="465" t="e">
        <f t="shared" si="244"/>
        <v>#DIV/0!</v>
      </c>
    </row>
    <row r="1283" spans="1:19" ht="14.25" customHeight="1" hidden="1">
      <c r="A1283" s="46" t="s">
        <v>242</v>
      </c>
      <c r="B1283" s="71" t="s">
        <v>202</v>
      </c>
      <c r="C1283" s="72" t="s">
        <v>196</v>
      </c>
      <c r="D1283" s="72" t="s">
        <v>203</v>
      </c>
      <c r="E1283" s="72" t="s">
        <v>30</v>
      </c>
      <c r="F1283" s="74" t="s">
        <v>417</v>
      </c>
      <c r="G1283" s="96"/>
      <c r="H1283" s="75"/>
      <c r="I1283" s="75"/>
      <c r="J1283" s="96"/>
      <c r="K1283" s="287"/>
      <c r="L1283" s="313"/>
      <c r="M1283" s="75"/>
      <c r="N1283" s="96"/>
      <c r="O1283" s="96"/>
      <c r="P1283" s="287"/>
      <c r="Q1283" s="449"/>
      <c r="R1283" s="449"/>
      <c r="S1283" s="465" t="e">
        <f t="shared" si="244"/>
        <v>#DIV/0!</v>
      </c>
    </row>
    <row r="1284" spans="1:19" ht="14.25" customHeight="1" hidden="1">
      <c r="A1284" s="46" t="s">
        <v>243</v>
      </c>
      <c r="B1284" s="71" t="s">
        <v>202</v>
      </c>
      <c r="C1284" s="72" t="s">
        <v>196</v>
      </c>
      <c r="D1284" s="72" t="s">
        <v>203</v>
      </c>
      <c r="E1284" s="72" t="s">
        <v>30</v>
      </c>
      <c r="F1284" s="74" t="s">
        <v>417</v>
      </c>
      <c r="G1284" s="96"/>
      <c r="H1284" s="75"/>
      <c r="I1284" s="75"/>
      <c r="J1284" s="96"/>
      <c r="K1284" s="287"/>
      <c r="L1284" s="313"/>
      <c r="M1284" s="75"/>
      <c r="N1284" s="96"/>
      <c r="O1284" s="96"/>
      <c r="P1284" s="287"/>
      <c r="Q1284" s="449"/>
      <c r="R1284" s="449"/>
      <c r="S1284" s="465" t="e">
        <f t="shared" si="244"/>
        <v>#DIV/0!</v>
      </c>
    </row>
    <row r="1285" spans="1:19" ht="14.25" customHeight="1" hidden="1">
      <c r="A1285" s="46" t="s">
        <v>225</v>
      </c>
      <c r="B1285" s="71" t="s">
        <v>202</v>
      </c>
      <c r="C1285" s="72" t="s">
        <v>196</v>
      </c>
      <c r="D1285" s="72" t="s">
        <v>203</v>
      </c>
      <c r="E1285" s="72" t="s">
        <v>30</v>
      </c>
      <c r="F1285" s="74" t="s">
        <v>417</v>
      </c>
      <c r="G1285" s="96"/>
      <c r="H1285" s="75"/>
      <c r="I1285" s="75"/>
      <c r="J1285" s="96"/>
      <c r="K1285" s="287"/>
      <c r="L1285" s="313"/>
      <c r="M1285" s="75"/>
      <c r="N1285" s="96"/>
      <c r="O1285" s="96"/>
      <c r="P1285" s="287"/>
      <c r="Q1285" s="449"/>
      <c r="R1285" s="449"/>
      <c r="S1285" s="465" t="e">
        <f t="shared" si="244"/>
        <v>#DIV/0!</v>
      </c>
    </row>
    <row r="1286" spans="1:19" ht="14.25" customHeight="1" hidden="1">
      <c r="A1286" s="46" t="s">
        <v>226</v>
      </c>
      <c r="B1286" s="71" t="s">
        <v>202</v>
      </c>
      <c r="C1286" s="72" t="s">
        <v>196</v>
      </c>
      <c r="D1286" s="72" t="s">
        <v>203</v>
      </c>
      <c r="E1286" s="72" t="s">
        <v>30</v>
      </c>
      <c r="F1286" s="74" t="s">
        <v>417</v>
      </c>
      <c r="G1286" s="96"/>
      <c r="H1286" s="75"/>
      <c r="I1286" s="75"/>
      <c r="J1286" s="96"/>
      <c r="K1286" s="287"/>
      <c r="L1286" s="313"/>
      <c r="M1286" s="75"/>
      <c r="N1286" s="96"/>
      <c r="O1286" s="96"/>
      <c r="P1286" s="287"/>
      <c r="Q1286" s="449"/>
      <c r="R1286" s="449"/>
      <c r="S1286" s="465" t="e">
        <f t="shared" si="244"/>
        <v>#DIV/0!</v>
      </c>
    </row>
    <row r="1287" spans="1:19" ht="14.25" customHeight="1" hidden="1">
      <c r="A1287" s="46" t="s">
        <v>386</v>
      </c>
      <c r="B1287" s="71" t="s">
        <v>202</v>
      </c>
      <c r="C1287" s="72" t="s">
        <v>196</v>
      </c>
      <c r="D1287" s="72" t="s">
        <v>203</v>
      </c>
      <c r="E1287" s="72" t="s">
        <v>30</v>
      </c>
      <c r="F1287" s="74" t="s">
        <v>417</v>
      </c>
      <c r="G1287" s="96"/>
      <c r="H1287" s="75"/>
      <c r="I1287" s="75"/>
      <c r="J1287" s="96"/>
      <c r="K1287" s="287"/>
      <c r="L1287" s="313"/>
      <c r="M1287" s="75"/>
      <c r="N1287" s="96"/>
      <c r="O1287" s="96"/>
      <c r="P1287" s="287"/>
      <c r="Q1287" s="449"/>
      <c r="R1287" s="449"/>
      <c r="S1287" s="465" t="e">
        <f t="shared" si="244"/>
        <v>#DIV/0!</v>
      </c>
    </row>
    <row r="1288" spans="1:19" ht="14.25" customHeight="1" hidden="1">
      <c r="A1288" s="46" t="s">
        <v>228</v>
      </c>
      <c r="B1288" s="71" t="s">
        <v>202</v>
      </c>
      <c r="C1288" s="72" t="s">
        <v>196</v>
      </c>
      <c r="D1288" s="72" t="s">
        <v>203</v>
      </c>
      <c r="E1288" s="72" t="s">
        <v>30</v>
      </c>
      <c r="F1288" s="74" t="s">
        <v>417</v>
      </c>
      <c r="G1288" s="96">
        <f>G1289+G1290</f>
        <v>0</v>
      </c>
      <c r="H1288" s="75">
        <f>H1289+H1290</f>
        <v>0</v>
      </c>
      <c r="I1288" s="75">
        <f>I1289+I1290</f>
        <v>0</v>
      </c>
      <c r="J1288" s="96">
        <f>J1289+J1290</f>
        <v>0</v>
      </c>
      <c r="K1288" s="287">
        <f>K1289+K1290</f>
        <v>0</v>
      </c>
      <c r="L1288" s="313"/>
      <c r="M1288" s="75"/>
      <c r="N1288" s="96"/>
      <c r="O1288" s="96"/>
      <c r="P1288" s="287"/>
      <c r="Q1288" s="449"/>
      <c r="R1288" s="449"/>
      <c r="S1288" s="465" t="e">
        <f t="shared" si="244"/>
        <v>#DIV/0!</v>
      </c>
    </row>
    <row r="1289" spans="1:19" ht="14.25" customHeight="1" hidden="1">
      <c r="A1289" s="46" t="s">
        <v>229</v>
      </c>
      <c r="B1289" s="71" t="s">
        <v>202</v>
      </c>
      <c r="C1289" s="72" t="s">
        <v>196</v>
      </c>
      <c r="D1289" s="72" t="s">
        <v>203</v>
      </c>
      <c r="E1289" s="72" t="s">
        <v>30</v>
      </c>
      <c r="F1289" s="74" t="s">
        <v>417</v>
      </c>
      <c r="G1289" s="96"/>
      <c r="H1289" s="75"/>
      <c r="I1289" s="75"/>
      <c r="J1289" s="96"/>
      <c r="K1289" s="287"/>
      <c r="L1289" s="313"/>
      <c r="M1289" s="75"/>
      <c r="N1289" s="96"/>
      <c r="O1289" s="96"/>
      <c r="P1289" s="287"/>
      <c r="Q1289" s="449"/>
      <c r="R1289" s="449"/>
      <c r="S1289" s="465" t="e">
        <f t="shared" si="244"/>
        <v>#DIV/0!</v>
      </c>
    </row>
    <row r="1290" spans="1:19" ht="14.25" customHeight="1" hidden="1">
      <c r="A1290" s="46" t="s">
        <v>230</v>
      </c>
      <c r="B1290" s="71" t="s">
        <v>202</v>
      </c>
      <c r="C1290" s="72" t="s">
        <v>196</v>
      </c>
      <c r="D1290" s="72" t="s">
        <v>203</v>
      </c>
      <c r="E1290" s="72" t="s">
        <v>30</v>
      </c>
      <c r="F1290" s="74" t="s">
        <v>417</v>
      </c>
      <c r="G1290" s="96"/>
      <c r="H1290" s="75"/>
      <c r="I1290" s="75"/>
      <c r="J1290" s="96"/>
      <c r="K1290" s="287"/>
      <c r="L1290" s="313"/>
      <c r="M1290" s="75"/>
      <c r="N1290" s="96"/>
      <c r="O1290" s="96"/>
      <c r="P1290" s="287"/>
      <c r="Q1290" s="449"/>
      <c r="R1290" s="449"/>
      <c r="S1290" s="465" t="e">
        <f t="shared" si="244"/>
        <v>#DIV/0!</v>
      </c>
    </row>
    <row r="1291" spans="1:19" ht="14.25" customHeight="1" hidden="1">
      <c r="A1291" s="46" t="s">
        <v>31</v>
      </c>
      <c r="B1291" s="71" t="s">
        <v>202</v>
      </c>
      <c r="C1291" s="72" t="s">
        <v>196</v>
      </c>
      <c r="D1291" s="72" t="s">
        <v>219</v>
      </c>
      <c r="E1291" s="72" t="s">
        <v>200</v>
      </c>
      <c r="F1291" s="74" t="s">
        <v>201</v>
      </c>
      <c r="G1291" s="96">
        <f>G1292+G1298+G1295</f>
        <v>0</v>
      </c>
      <c r="H1291" s="75">
        <f>H1292+H1298+H1295</f>
        <v>0</v>
      </c>
      <c r="I1291" s="75">
        <f>I1292+I1298+I1295</f>
        <v>0</v>
      </c>
      <c r="J1291" s="96">
        <f>J1292+J1298+J1295</f>
        <v>0</v>
      </c>
      <c r="K1291" s="287">
        <f>K1292+K1298+K1295</f>
        <v>0</v>
      </c>
      <c r="L1291" s="313"/>
      <c r="M1291" s="75"/>
      <c r="N1291" s="96"/>
      <c r="O1291" s="96"/>
      <c r="P1291" s="287"/>
      <c r="Q1291" s="449"/>
      <c r="R1291" s="449"/>
      <c r="S1291" s="465" t="e">
        <f t="shared" si="244"/>
        <v>#DIV/0!</v>
      </c>
    </row>
    <row r="1292" spans="1:19" ht="14.25" customHeight="1" hidden="1">
      <c r="A1292" s="46" t="s">
        <v>32</v>
      </c>
      <c r="B1292" s="71" t="s">
        <v>202</v>
      </c>
      <c r="C1292" s="72" t="s">
        <v>196</v>
      </c>
      <c r="D1292" s="72" t="s">
        <v>219</v>
      </c>
      <c r="E1292" s="72" t="s">
        <v>33</v>
      </c>
      <c r="F1292" s="74" t="s">
        <v>263</v>
      </c>
      <c r="G1292" s="96">
        <f aca="true" t="shared" si="256" ref="G1292:K1293">G1293</f>
        <v>0</v>
      </c>
      <c r="H1292" s="75">
        <f t="shared" si="256"/>
        <v>0</v>
      </c>
      <c r="I1292" s="75">
        <f t="shared" si="256"/>
        <v>0</v>
      </c>
      <c r="J1292" s="96">
        <f t="shared" si="256"/>
        <v>0</v>
      </c>
      <c r="K1292" s="287">
        <f t="shared" si="256"/>
        <v>0</v>
      </c>
      <c r="L1292" s="313"/>
      <c r="M1292" s="75"/>
      <c r="N1292" s="96"/>
      <c r="O1292" s="96"/>
      <c r="P1292" s="287"/>
      <c r="Q1292" s="449"/>
      <c r="R1292" s="449"/>
      <c r="S1292" s="465" t="e">
        <f t="shared" si="244"/>
        <v>#DIV/0!</v>
      </c>
    </row>
    <row r="1293" spans="1:19" ht="14.25" customHeight="1" hidden="1">
      <c r="A1293" s="46" t="s">
        <v>34</v>
      </c>
      <c r="B1293" s="71" t="s">
        <v>202</v>
      </c>
      <c r="C1293" s="72" t="s">
        <v>196</v>
      </c>
      <c r="D1293" s="72" t="s">
        <v>219</v>
      </c>
      <c r="E1293" s="72" t="s">
        <v>33</v>
      </c>
      <c r="F1293" s="74" t="s">
        <v>35</v>
      </c>
      <c r="G1293" s="96">
        <f t="shared" si="256"/>
        <v>0</v>
      </c>
      <c r="H1293" s="75">
        <f t="shared" si="256"/>
        <v>0</v>
      </c>
      <c r="I1293" s="75">
        <f t="shared" si="256"/>
        <v>0</v>
      </c>
      <c r="J1293" s="96">
        <f t="shared" si="256"/>
        <v>0</v>
      </c>
      <c r="K1293" s="287">
        <f t="shared" si="256"/>
        <v>0</v>
      </c>
      <c r="L1293" s="313"/>
      <c r="M1293" s="75"/>
      <c r="N1293" s="96"/>
      <c r="O1293" s="96"/>
      <c r="P1293" s="287"/>
      <c r="Q1293" s="449"/>
      <c r="R1293" s="449"/>
      <c r="S1293" s="465" t="e">
        <f aca="true" t="shared" si="257" ref="S1293:S1356">R1293/Q1293*100</f>
        <v>#DIV/0!</v>
      </c>
    </row>
    <row r="1294" spans="1:19" ht="14.25" customHeight="1" hidden="1">
      <c r="A1294" s="46" t="s">
        <v>471</v>
      </c>
      <c r="B1294" s="71" t="s">
        <v>202</v>
      </c>
      <c r="C1294" s="72" t="s">
        <v>196</v>
      </c>
      <c r="D1294" s="72" t="s">
        <v>219</v>
      </c>
      <c r="E1294" s="72" t="s">
        <v>33</v>
      </c>
      <c r="F1294" s="74" t="s">
        <v>35</v>
      </c>
      <c r="G1294" s="96"/>
      <c r="H1294" s="75"/>
      <c r="I1294" s="75"/>
      <c r="J1294" s="96"/>
      <c r="K1294" s="287"/>
      <c r="L1294" s="313"/>
      <c r="M1294" s="75"/>
      <c r="N1294" s="96"/>
      <c r="O1294" s="96"/>
      <c r="P1294" s="287"/>
      <c r="Q1294" s="449"/>
      <c r="R1294" s="449"/>
      <c r="S1294" s="465" t="e">
        <f t="shared" si="257"/>
        <v>#DIV/0!</v>
      </c>
    </row>
    <row r="1295" spans="1:19" ht="14.25" customHeight="1" hidden="1">
      <c r="A1295" s="46" t="s">
        <v>36</v>
      </c>
      <c r="B1295" s="71" t="s">
        <v>202</v>
      </c>
      <c r="C1295" s="72" t="s">
        <v>196</v>
      </c>
      <c r="D1295" s="72" t="s">
        <v>219</v>
      </c>
      <c r="E1295" s="72" t="s">
        <v>37</v>
      </c>
      <c r="F1295" s="74" t="s">
        <v>201</v>
      </c>
      <c r="G1295" s="96">
        <f aca="true" t="shared" si="258" ref="G1295:K1296">G1296</f>
        <v>0</v>
      </c>
      <c r="H1295" s="75">
        <f t="shared" si="258"/>
        <v>0</v>
      </c>
      <c r="I1295" s="75">
        <f t="shared" si="258"/>
        <v>0</v>
      </c>
      <c r="J1295" s="96">
        <f t="shared" si="258"/>
        <v>0</v>
      </c>
      <c r="K1295" s="287">
        <f t="shared" si="258"/>
        <v>0</v>
      </c>
      <c r="L1295" s="313"/>
      <c r="M1295" s="75"/>
      <c r="N1295" s="96"/>
      <c r="O1295" s="96"/>
      <c r="P1295" s="287"/>
      <c r="Q1295" s="449"/>
      <c r="R1295" s="449"/>
      <c r="S1295" s="465" t="e">
        <f t="shared" si="257"/>
        <v>#DIV/0!</v>
      </c>
    </row>
    <row r="1296" spans="1:19" ht="14.25" customHeight="1" hidden="1">
      <c r="A1296" s="46" t="s">
        <v>38</v>
      </c>
      <c r="B1296" s="71" t="s">
        <v>202</v>
      </c>
      <c r="C1296" s="72" t="s">
        <v>196</v>
      </c>
      <c r="D1296" s="72" t="s">
        <v>219</v>
      </c>
      <c r="E1296" s="72" t="s">
        <v>37</v>
      </c>
      <c r="F1296" s="74" t="s">
        <v>39</v>
      </c>
      <c r="G1296" s="96">
        <f t="shared" si="258"/>
        <v>0</v>
      </c>
      <c r="H1296" s="75">
        <f t="shared" si="258"/>
        <v>0</v>
      </c>
      <c r="I1296" s="75">
        <f t="shared" si="258"/>
        <v>0</v>
      </c>
      <c r="J1296" s="96">
        <f t="shared" si="258"/>
        <v>0</v>
      </c>
      <c r="K1296" s="287">
        <f t="shared" si="258"/>
        <v>0</v>
      </c>
      <c r="L1296" s="313"/>
      <c r="M1296" s="75"/>
      <c r="N1296" s="96"/>
      <c r="O1296" s="96"/>
      <c r="P1296" s="287"/>
      <c r="Q1296" s="449"/>
      <c r="R1296" s="449"/>
      <c r="S1296" s="465" t="e">
        <f t="shared" si="257"/>
        <v>#DIV/0!</v>
      </c>
    </row>
    <row r="1297" spans="1:19" ht="14.25" customHeight="1" hidden="1">
      <c r="A1297" s="46" t="s">
        <v>40</v>
      </c>
      <c r="B1297" s="71" t="s">
        <v>202</v>
      </c>
      <c r="C1297" s="72" t="s">
        <v>196</v>
      </c>
      <c r="D1297" s="72" t="s">
        <v>219</v>
      </c>
      <c r="E1297" s="72" t="s">
        <v>37</v>
      </c>
      <c r="F1297" s="74" t="s">
        <v>39</v>
      </c>
      <c r="G1297" s="96"/>
      <c r="H1297" s="75"/>
      <c r="I1297" s="75"/>
      <c r="J1297" s="96"/>
      <c r="K1297" s="287"/>
      <c r="L1297" s="313"/>
      <c r="M1297" s="75"/>
      <c r="N1297" s="96"/>
      <c r="O1297" s="96"/>
      <c r="P1297" s="287"/>
      <c r="Q1297" s="449"/>
      <c r="R1297" s="449"/>
      <c r="S1297" s="465" t="e">
        <f t="shared" si="257"/>
        <v>#DIV/0!</v>
      </c>
    </row>
    <row r="1298" spans="1:19" ht="14.25" customHeight="1" hidden="1">
      <c r="A1298" s="46" t="s">
        <v>41</v>
      </c>
      <c r="B1298" s="71" t="s">
        <v>202</v>
      </c>
      <c r="C1298" s="72" t="s">
        <v>196</v>
      </c>
      <c r="D1298" s="72" t="s">
        <v>219</v>
      </c>
      <c r="E1298" s="72" t="s">
        <v>329</v>
      </c>
      <c r="F1298" s="74" t="s">
        <v>201</v>
      </c>
      <c r="G1298" s="96">
        <f>G1299</f>
        <v>0</v>
      </c>
      <c r="H1298" s="75">
        <f>H1299</f>
        <v>0</v>
      </c>
      <c r="I1298" s="75">
        <f>I1299</f>
        <v>0</v>
      </c>
      <c r="J1298" s="96">
        <f>J1299</f>
        <v>0</v>
      </c>
      <c r="K1298" s="287">
        <f>K1299</f>
        <v>0</v>
      </c>
      <c r="L1298" s="313"/>
      <c r="M1298" s="75"/>
      <c r="N1298" s="96"/>
      <c r="O1298" s="96"/>
      <c r="P1298" s="287"/>
      <c r="Q1298" s="449"/>
      <c r="R1298" s="449"/>
      <c r="S1298" s="465" t="e">
        <f t="shared" si="257"/>
        <v>#DIV/0!</v>
      </c>
    </row>
    <row r="1299" spans="1:19" ht="14.25" customHeight="1" hidden="1">
      <c r="A1299" s="46" t="s">
        <v>42</v>
      </c>
      <c r="B1299" s="71" t="s">
        <v>202</v>
      </c>
      <c r="C1299" s="72" t="s">
        <v>196</v>
      </c>
      <c r="D1299" s="72" t="s">
        <v>219</v>
      </c>
      <c r="E1299" s="72" t="s">
        <v>329</v>
      </c>
      <c r="F1299" s="74" t="s">
        <v>43</v>
      </c>
      <c r="G1299" s="96">
        <f>G1304</f>
        <v>0</v>
      </c>
      <c r="H1299" s="75">
        <f>H1304</f>
        <v>0</v>
      </c>
      <c r="I1299" s="75">
        <f>I1304</f>
        <v>0</v>
      </c>
      <c r="J1299" s="96">
        <f>J1304</f>
        <v>0</v>
      </c>
      <c r="K1299" s="287">
        <f>K1304</f>
        <v>0</v>
      </c>
      <c r="L1299" s="313"/>
      <c r="M1299" s="75"/>
      <c r="N1299" s="96"/>
      <c r="O1299" s="96"/>
      <c r="P1299" s="287"/>
      <c r="Q1299" s="449"/>
      <c r="R1299" s="449"/>
      <c r="S1299" s="465" t="e">
        <f t="shared" si="257"/>
        <v>#DIV/0!</v>
      </c>
    </row>
    <row r="1300" spans="1:19" ht="14.25" customHeight="1" hidden="1">
      <c r="A1300" s="46" t="s">
        <v>31</v>
      </c>
      <c r="B1300" s="71" t="s">
        <v>202</v>
      </c>
      <c r="C1300" s="72" t="s">
        <v>196</v>
      </c>
      <c r="D1300" s="72" t="s">
        <v>219</v>
      </c>
      <c r="E1300" s="72" t="s">
        <v>200</v>
      </c>
      <c r="F1300" s="74" t="s">
        <v>263</v>
      </c>
      <c r="G1300" s="96">
        <f aca="true" t="shared" si="259" ref="G1300:K1302">G1301</f>
        <v>0</v>
      </c>
      <c r="H1300" s="75">
        <f t="shared" si="259"/>
        <v>0</v>
      </c>
      <c r="I1300" s="75">
        <f t="shared" si="259"/>
        <v>0</v>
      </c>
      <c r="J1300" s="96">
        <f t="shared" si="259"/>
        <v>0</v>
      </c>
      <c r="K1300" s="287">
        <f t="shared" si="259"/>
        <v>0</v>
      </c>
      <c r="L1300" s="313"/>
      <c r="M1300" s="75"/>
      <c r="N1300" s="96"/>
      <c r="O1300" s="96"/>
      <c r="P1300" s="287"/>
      <c r="Q1300" s="449"/>
      <c r="R1300" s="449"/>
      <c r="S1300" s="465" t="e">
        <f t="shared" si="257"/>
        <v>#DIV/0!</v>
      </c>
    </row>
    <row r="1301" spans="1:19" ht="14.25" customHeight="1" hidden="1">
      <c r="A1301" s="46" t="s">
        <v>44</v>
      </c>
      <c r="B1301" s="71" t="s">
        <v>202</v>
      </c>
      <c r="C1301" s="72" t="s">
        <v>196</v>
      </c>
      <c r="D1301" s="72" t="s">
        <v>219</v>
      </c>
      <c r="E1301" s="72" t="s">
        <v>45</v>
      </c>
      <c r="F1301" s="74" t="s">
        <v>201</v>
      </c>
      <c r="G1301" s="96">
        <f t="shared" si="259"/>
        <v>0</v>
      </c>
      <c r="H1301" s="75">
        <f t="shared" si="259"/>
        <v>0</v>
      </c>
      <c r="I1301" s="75">
        <f t="shared" si="259"/>
        <v>0</v>
      </c>
      <c r="J1301" s="96">
        <f t="shared" si="259"/>
        <v>0</v>
      </c>
      <c r="K1301" s="287">
        <f t="shared" si="259"/>
        <v>0</v>
      </c>
      <c r="L1301" s="313"/>
      <c r="M1301" s="75"/>
      <c r="N1301" s="96"/>
      <c r="O1301" s="96"/>
      <c r="P1301" s="287"/>
      <c r="Q1301" s="449"/>
      <c r="R1301" s="449"/>
      <c r="S1301" s="465" t="e">
        <f t="shared" si="257"/>
        <v>#DIV/0!</v>
      </c>
    </row>
    <row r="1302" spans="1:19" ht="14.25" customHeight="1" hidden="1">
      <c r="A1302" s="46" t="s">
        <v>46</v>
      </c>
      <c r="B1302" s="71" t="s">
        <v>202</v>
      </c>
      <c r="C1302" s="72" t="s">
        <v>196</v>
      </c>
      <c r="D1302" s="72" t="s">
        <v>219</v>
      </c>
      <c r="E1302" s="72" t="s">
        <v>45</v>
      </c>
      <c r="F1302" s="74" t="s">
        <v>47</v>
      </c>
      <c r="G1302" s="96">
        <f t="shared" si="259"/>
        <v>0</v>
      </c>
      <c r="H1302" s="75">
        <f t="shared" si="259"/>
        <v>0</v>
      </c>
      <c r="I1302" s="75">
        <f t="shared" si="259"/>
        <v>0</v>
      </c>
      <c r="J1302" s="96">
        <f t="shared" si="259"/>
        <v>0</v>
      </c>
      <c r="K1302" s="287">
        <f t="shared" si="259"/>
        <v>0</v>
      </c>
      <c r="L1302" s="313"/>
      <c r="M1302" s="75"/>
      <c r="N1302" s="96"/>
      <c r="O1302" s="96"/>
      <c r="P1302" s="287"/>
      <c r="Q1302" s="449"/>
      <c r="R1302" s="449"/>
      <c r="S1302" s="465" t="e">
        <f t="shared" si="257"/>
        <v>#DIV/0!</v>
      </c>
    </row>
    <row r="1303" spans="1:19" ht="14.25" customHeight="1" hidden="1">
      <c r="A1303" s="46" t="s">
        <v>471</v>
      </c>
      <c r="B1303" s="71" t="s">
        <v>202</v>
      </c>
      <c r="C1303" s="72" t="s">
        <v>196</v>
      </c>
      <c r="D1303" s="72" t="s">
        <v>219</v>
      </c>
      <c r="E1303" s="72" t="s">
        <v>45</v>
      </c>
      <c r="F1303" s="74" t="s">
        <v>47</v>
      </c>
      <c r="G1303" s="96"/>
      <c r="H1303" s="75"/>
      <c r="I1303" s="75"/>
      <c r="J1303" s="96"/>
      <c r="K1303" s="287"/>
      <c r="L1303" s="313"/>
      <c r="M1303" s="75"/>
      <c r="N1303" s="96"/>
      <c r="O1303" s="96"/>
      <c r="P1303" s="287"/>
      <c r="Q1303" s="449"/>
      <c r="R1303" s="449"/>
      <c r="S1303" s="465" t="e">
        <f t="shared" si="257"/>
        <v>#DIV/0!</v>
      </c>
    </row>
    <row r="1304" spans="1:19" ht="14.25" customHeight="1" hidden="1">
      <c r="A1304" s="46" t="s">
        <v>40</v>
      </c>
      <c r="B1304" s="71" t="s">
        <v>202</v>
      </c>
      <c r="C1304" s="72" t="s">
        <v>196</v>
      </c>
      <c r="D1304" s="72" t="s">
        <v>219</v>
      </c>
      <c r="E1304" s="72" t="s">
        <v>329</v>
      </c>
      <c r="F1304" s="74" t="s">
        <v>43</v>
      </c>
      <c r="G1304" s="96"/>
      <c r="H1304" s="75"/>
      <c r="I1304" s="75"/>
      <c r="J1304" s="96"/>
      <c r="K1304" s="287"/>
      <c r="L1304" s="313"/>
      <c r="M1304" s="75"/>
      <c r="N1304" s="96"/>
      <c r="O1304" s="96"/>
      <c r="P1304" s="287"/>
      <c r="Q1304" s="449"/>
      <c r="R1304" s="449"/>
      <c r="S1304" s="465" t="e">
        <f t="shared" si="257"/>
        <v>#DIV/0!</v>
      </c>
    </row>
    <row r="1305" spans="1:19" ht="14.25" customHeight="1" hidden="1">
      <c r="A1305" s="46" t="s">
        <v>48</v>
      </c>
      <c r="B1305" s="71" t="s">
        <v>202</v>
      </c>
      <c r="C1305" s="72" t="s">
        <v>196</v>
      </c>
      <c r="D1305" s="72" t="s">
        <v>240</v>
      </c>
      <c r="E1305" s="72" t="s">
        <v>200</v>
      </c>
      <c r="F1305" s="74" t="s">
        <v>201</v>
      </c>
      <c r="G1305" s="96">
        <f>G1309+G1306</f>
        <v>0</v>
      </c>
      <c r="H1305" s="75">
        <f>H1309+H1306</f>
        <v>0</v>
      </c>
      <c r="I1305" s="75">
        <f>I1309+I1306</f>
        <v>0</v>
      </c>
      <c r="J1305" s="96">
        <f>J1309+J1306</f>
        <v>0</v>
      </c>
      <c r="K1305" s="287">
        <f>K1309+K1306</f>
        <v>0</v>
      </c>
      <c r="L1305" s="313"/>
      <c r="M1305" s="75"/>
      <c r="N1305" s="96"/>
      <c r="O1305" s="96"/>
      <c r="P1305" s="287"/>
      <c r="Q1305" s="449"/>
      <c r="R1305" s="449"/>
      <c r="S1305" s="465" t="e">
        <f t="shared" si="257"/>
        <v>#DIV/0!</v>
      </c>
    </row>
    <row r="1306" spans="1:19" ht="14.25" customHeight="1" hidden="1">
      <c r="A1306" s="46" t="s">
        <v>49</v>
      </c>
      <c r="B1306" s="71" t="s">
        <v>202</v>
      </c>
      <c r="C1306" s="72" t="s">
        <v>196</v>
      </c>
      <c r="D1306" s="72" t="s">
        <v>240</v>
      </c>
      <c r="E1306" s="72" t="s">
        <v>50</v>
      </c>
      <c r="F1306" s="74" t="s">
        <v>201</v>
      </c>
      <c r="G1306" s="96">
        <f aca="true" t="shared" si="260" ref="G1306:K1307">G1307</f>
        <v>0</v>
      </c>
      <c r="H1306" s="75">
        <f t="shared" si="260"/>
        <v>0</v>
      </c>
      <c r="I1306" s="75">
        <f t="shared" si="260"/>
        <v>0</v>
      </c>
      <c r="J1306" s="96">
        <f t="shared" si="260"/>
        <v>0</v>
      </c>
      <c r="K1306" s="287">
        <f t="shared" si="260"/>
        <v>0</v>
      </c>
      <c r="L1306" s="313"/>
      <c r="M1306" s="75"/>
      <c r="N1306" s="96"/>
      <c r="O1306" s="96"/>
      <c r="P1306" s="287"/>
      <c r="Q1306" s="449"/>
      <c r="R1306" s="449"/>
      <c r="S1306" s="465" t="e">
        <f t="shared" si="257"/>
        <v>#DIV/0!</v>
      </c>
    </row>
    <row r="1307" spans="1:19" ht="14.25" customHeight="1" hidden="1">
      <c r="A1307" s="46" t="s">
        <v>51</v>
      </c>
      <c r="B1307" s="71" t="s">
        <v>202</v>
      </c>
      <c r="C1307" s="72" t="s">
        <v>196</v>
      </c>
      <c r="D1307" s="72" t="s">
        <v>240</v>
      </c>
      <c r="E1307" s="72" t="s">
        <v>50</v>
      </c>
      <c r="F1307" s="74" t="s">
        <v>52</v>
      </c>
      <c r="G1307" s="96">
        <f t="shared" si="260"/>
        <v>0</v>
      </c>
      <c r="H1307" s="75">
        <f t="shared" si="260"/>
        <v>0</v>
      </c>
      <c r="I1307" s="75">
        <f t="shared" si="260"/>
        <v>0</v>
      </c>
      <c r="J1307" s="96">
        <f t="shared" si="260"/>
        <v>0</v>
      </c>
      <c r="K1307" s="287">
        <f t="shared" si="260"/>
        <v>0</v>
      </c>
      <c r="L1307" s="313"/>
      <c r="M1307" s="75"/>
      <c r="N1307" s="96"/>
      <c r="O1307" s="96"/>
      <c r="P1307" s="287"/>
      <c r="Q1307" s="449"/>
      <c r="R1307" s="449"/>
      <c r="S1307" s="465" t="e">
        <f t="shared" si="257"/>
        <v>#DIV/0!</v>
      </c>
    </row>
    <row r="1308" spans="1:19" ht="14.25" customHeight="1" hidden="1">
      <c r="A1308" s="46" t="s">
        <v>40</v>
      </c>
      <c r="B1308" s="71" t="s">
        <v>202</v>
      </c>
      <c r="C1308" s="72" t="s">
        <v>196</v>
      </c>
      <c r="D1308" s="72" t="s">
        <v>240</v>
      </c>
      <c r="E1308" s="72" t="s">
        <v>50</v>
      </c>
      <c r="F1308" s="74" t="s">
        <v>52</v>
      </c>
      <c r="G1308" s="96"/>
      <c r="H1308" s="75"/>
      <c r="I1308" s="75"/>
      <c r="J1308" s="96"/>
      <c r="K1308" s="287"/>
      <c r="L1308" s="313"/>
      <c r="M1308" s="75"/>
      <c r="N1308" s="96"/>
      <c r="O1308" s="96"/>
      <c r="P1308" s="287"/>
      <c r="Q1308" s="449"/>
      <c r="R1308" s="449"/>
      <c r="S1308" s="465" t="e">
        <f t="shared" si="257"/>
        <v>#DIV/0!</v>
      </c>
    </row>
    <row r="1309" spans="1:19" ht="14.25" customHeight="1" hidden="1">
      <c r="A1309" s="46" t="s">
        <v>41</v>
      </c>
      <c r="B1309" s="71" t="s">
        <v>202</v>
      </c>
      <c r="C1309" s="72" t="s">
        <v>196</v>
      </c>
      <c r="D1309" s="72" t="s">
        <v>240</v>
      </c>
      <c r="E1309" s="72" t="s">
        <v>329</v>
      </c>
      <c r="F1309" s="74" t="s">
        <v>201</v>
      </c>
      <c r="G1309" s="96">
        <f aca="true" t="shared" si="261" ref="G1309:K1310">G1310</f>
        <v>0</v>
      </c>
      <c r="H1309" s="75">
        <f t="shared" si="261"/>
        <v>0</v>
      </c>
      <c r="I1309" s="75">
        <f t="shared" si="261"/>
        <v>0</v>
      </c>
      <c r="J1309" s="96">
        <f t="shared" si="261"/>
        <v>0</v>
      </c>
      <c r="K1309" s="287">
        <f t="shared" si="261"/>
        <v>0</v>
      </c>
      <c r="L1309" s="313"/>
      <c r="M1309" s="75"/>
      <c r="N1309" s="96"/>
      <c r="O1309" s="96"/>
      <c r="P1309" s="287"/>
      <c r="Q1309" s="449"/>
      <c r="R1309" s="449"/>
      <c r="S1309" s="465" t="e">
        <f t="shared" si="257"/>
        <v>#DIV/0!</v>
      </c>
    </row>
    <row r="1310" spans="1:19" ht="14.25" customHeight="1" hidden="1">
      <c r="A1310" s="46" t="s">
        <v>53</v>
      </c>
      <c r="B1310" s="71" t="s">
        <v>202</v>
      </c>
      <c r="C1310" s="72" t="s">
        <v>196</v>
      </c>
      <c r="D1310" s="72" t="s">
        <v>240</v>
      </c>
      <c r="E1310" s="72" t="s">
        <v>329</v>
      </c>
      <c r="F1310" s="74" t="s">
        <v>54</v>
      </c>
      <c r="G1310" s="96">
        <f t="shared" si="261"/>
        <v>0</v>
      </c>
      <c r="H1310" s="75">
        <f t="shared" si="261"/>
        <v>0</v>
      </c>
      <c r="I1310" s="75">
        <f t="shared" si="261"/>
        <v>0</v>
      </c>
      <c r="J1310" s="96">
        <f t="shared" si="261"/>
        <v>0</v>
      </c>
      <c r="K1310" s="287">
        <f t="shared" si="261"/>
        <v>0</v>
      </c>
      <c r="L1310" s="313"/>
      <c r="M1310" s="75"/>
      <c r="N1310" s="96"/>
      <c r="O1310" s="96"/>
      <c r="P1310" s="287"/>
      <c r="Q1310" s="449"/>
      <c r="R1310" s="449"/>
      <c r="S1310" s="465" t="e">
        <f t="shared" si="257"/>
        <v>#DIV/0!</v>
      </c>
    </row>
    <row r="1311" spans="1:19" ht="14.25" customHeight="1" hidden="1">
      <c r="A1311" s="46" t="s">
        <v>386</v>
      </c>
      <c r="B1311" s="71" t="s">
        <v>202</v>
      </c>
      <c r="C1311" s="72" t="s">
        <v>196</v>
      </c>
      <c r="D1311" s="72" t="s">
        <v>240</v>
      </c>
      <c r="E1311" s="72" t="s">
        <v>329</v>
      </c>
      <c r="F1311" s="74" t="s">
        <v>54</v>
      </c>
      <c r="G1311" s="96"/>
      <c r="H1311" s="75"/>
      <c r="I1311" s="75"/>
      <c r="J1311" s="96"/>
      <c r="K1311" s="287"/>
      <c r="L1311" s="313"/>
      <c r="M1311" s="75"/>
      <c r="N1311" s="96"/>
      <c r="O1311" s="96"/>
      <c r="P1311" s="287"/>
      <c r="Q1311" s="449"/>
      <c r="R1311" s="449"/>
      <c r="S1311" s="465" t="e">
        <f t="shared" si="257"/>
        <v>#DIV/0!</v>
      </c>
    </row>
    <row r="1312" spans="1:19" ht="14.25" customHeight="1" hidden="1">
      <c r="A1312" s="46" t="s">
        <v>55</v>
      </c>
      <c r="B1312" s="71" t="s">
        <v>202</v>
      </c>
      <c r="C1312" s="72" t="s">
        <v>196</v>
      </c>
      <c r="D1312" s="72" t="s">
        <v>253</v>
      </c>
      <c r="E1312" s="72" t="s">
        <v>200</v>
      </c>
      <c r="F1312" s="74" t="s">
        <v>201</v>
      </c>
      <c r="G1312" s="96">
        <f>G1313+G1330</f>
        <v>0</v>
      </c>
      <c r="H1312" s="75">
        <f>H1313+H1330</f>
        <v>0</v>
      </c>
      <c r="I1312" s="75">
        <f>I1313+I1330</f>
        <v>0</v>
      </c>
      <c r="J1312" s="96">
        <f>J1313+J1330</f>
        <v>0</v>
      </c>
      <c r="K1312" s="287">
        <f>K1313+K1330</f>
        <v>0</v>
      </c>
      <c r="L1312" s="313"/>
      <c r="M1312" s="75"/>
      <c r="N1312" s="96"/>
      <c r="O1312" s="96"/>
      <c r="P1312" s="287"/>
      <c r="Q1312" s="449"/>
      <c r="R1312" s="449"/>
      <c r="S1312" s="465" t="e">
        <f t="shared" si="257"/>
        <v>#DIV/0!</v>
      </c>
    </row>
    <row r="1313" spans="1:19" ht="14.25" customHeight="1" hidden="1">
      <c r="A1313" s="46" t="s">
        <v>250</v>
      </c>
      <c r="B1313" s="71" t="s">
        <v>202</v>
      </c>
      <c r="C1313" s="72" t="s">
        <v>196</v>
      </c>
      <c r="D1313" s="72" t="s">
        <v>253</v>
      </c>
      <c r="E1313" s="72" t="s">
        <v>251</v>
      </c>
      <c r="F1313" s="74" t="s">
        <v>201</v>
      </c>
      <c r="G1313" s="96">
        <f>G1314</f>
        <v>0</v>
      </c>
      <c r="H1313" s="75">
        <f>H1314</f>
        <v>0</v>
      </c>
      <c r="I1313" s="75">
        <f>I1314</f>
        <v>0</v>
      </c>
      <c r="J1313" s="96">
        <f>J1314</f>
        <v>0</v>
      </c>
      <c r="K1313" s="287">
        <f>K1314</f>
        <v>0</v>
      </c>
      <c r="L1313" s="313"/>
      <c r="M1313" s="75"/>
      <c r="N1313" s="96"/>
      <c r="O1313" s="96"/>
      <c r="P1313" s="287"/>
      <c r="Q1313" s="449"/>
      <c r="R1313" s="449"/>
      <c r="S1313" s="465" t="e">
        <f t="shared" si="257"/>
        <v>#DIV/0!</v>
      </c>
    </row>
    <row r="1314" spans="1:19" ht="14.25" customHeight="1" hidden="1">
      <c r="A1314" s="46" t="s">
        <v>220</v>
      </c>
      <c r="B1314" s="71" t="s">
        <v>202</v>
      </c>
      <c r="C1314" s="72" t="s">
        <v>196</v>
      </c>
      <c r="D1314" s="72" t="s">
        <v>253</v>
      </c>
      <c r="E1314" s="72" t="s">
        <v>251</v>
      </c>
      <c r="F1314" s="74" t="s">
        <v>426</v>
      </c>
      <c r="G1314" s="96">
        <f>G1315+G1319+G1326+G1327</f>
        <v>0</v>
      </c>
      <c r="H1314" s="75">
        <f>H1315+H1319+H1326+H1327</f>
        <v>0</v>
      </c>
      <c r="I1314" s="75">
        <f>I1315+I1319+I1326+I1327</f>
        <v>0</v>
      </c>
      <c r="J1314" s="96">
        <f>J1315+J1319+J1326+J1327</f>
        <v>0</v>
      </c>
      <c r="K1314" s="287">
        <f>K1315+K1319+K1326+K1327</f>
        <v>0</v>
      </c>
      <c r="L1314" s="313"/>
      <c r="M1314" s="75"/>
      <c r="N1314" s="96"/>
      <c r="O1314" s="96"/>
      <c r="P1314" s="287"/>
      <c r="Q1314" s="449"/>
      <c r="R1314" s="449"/>
      <c r="S1314" s="465" t="e">
        <f t="shared" si="257"/>
        <v>#DIV/0!</v>
      </c>
    </row>
    <row r="1315" spans="1:19" ht="14.25" customHeight="1" hidden="1">
      <c r="A1315" s="46" t="s">
        <v>211</v>
      </c>
      <c r="B1315" s="71" t="s">
        <v>202</v>
      </c>
      <c r="C1315" s="72" t="s">
        <v>196</v>
      </c>
      <c r="D1315" s="72" t="s">
        <v>253</v>
      </c>
      <c r="E1315" s="72" t="s">
        <v>251</v>
      </c>
      <c r="F1315" s="74" t="s">
        <v>426</v>
      </c>
      <c r="G1315" s="96">
        <f>G1316+G1317+G1318</f>
        <v>0</v>
      </c>
      <c r="H1315" s="75">
        <f>H1316+H1317+H1318</f>
        <v>0</v>
      </c>
      <c r="I1315" s="75">
        <f>I1316+I1317+I1318</f>
        <v>0</v>
      </c>
      <c r="J1315" s="96">
        <f>J1316+J1317+J1318</f>
        <v>0</v>
      </c>
      <c r="K1315" s="287">
        <f>K1316+K1317+K1318</f>
        <v>0</v>
      </c>
      <c r="L1315" s="313"/>
      <c r="M1315" s="75"/>
      <c r="N1315" s="96"/>
      <c r="O1315" s="96"/>
      <c r="P1315" s="287"/>
      <c r="Q1315" s="449"/>
      <c r="R1315" s="449"/>
      <c r="S1315" s="465" t="e">
        <f t="shared" si="257"/>
        <v>#DIV/0!</v>
      </c>
    </row>
    <row r="1316" spans="1:19" ht="14.25" customHeight="1" hidden="1">
      <c r="A1316" s="46" t="s">
        <v>212</v>
      </c>
      <c r="B1316" s="71" t="s">
        <v>202</v>
      </c>
      <c r="C1316" s="72" t="s">
        <v>196</v>
      </c>
      <c r="D1316" s="72" t="s">
        <v>253</v>
      </c>
      <c r="E1316" s="72" t="s">
        <v>251</v>
      </c>
      <c r="F1316" s="74" t="s">
        <v>426</v>
      </c>
      <c r="G1316" s="96"/>
      <c r="H1316" s="75"/>
      <c r="I1316" s="75"/>
      <c r="J1316" s="96"/>
      <c r="K1316" s="287"/>
      <c r="L1316" s="313"/>
      <c r="M1316" s="75"/>
      <c r="N1316" s="96"/>
      <c r="O1316" s="96"/>
      <c r="P1316" s="287"/>
      <c r="Q1316" s="449"/>
      <c r="R1316" s="449"/>
      <c r="S1316" s="465" t="e">
        <f t="shared" si="257"/>
        <v>#DIV/0!</v>
      </c>
    </row>
    <row r="1317" spans="1:19" ht="14.25" customHeight="1" hidden="1">
      <c r="A1317" s="46" t="s">
        <v>213</v>
      </c>
      <c r="B1317" s="71" t="s">
        <v>202</v>
      </c>
      <c r="C1317" s="72" t="s">
        <v>196</v>
      </c>
      <c r="D1317" s="72" t="s">
        <v>253</v>
      </c>
      <c r="E1317" s="72" t="s">
        <v>251</v>
      </c>
      <c r="F1317" s="74" t="s">
        <v>426</v>
      </c>
      <c r="G1317" s="96"/>
      <c r="H1317" s="75"/>
      <c r="I1317" s="75"/>
      <c r="J1317" s="96"/>
      <c r="K1317" s="287"/>
      <c r="L1317" s="313"/>
      <c r="M1317" s="75"/>
      <c r="N1317" s="96"/>
      <c r="O1317" s="96"/>
      <c r="P1317" s="287"/>
      <c r="Q1317" s="449"/>
      <c r="R1317" s="449"/>
      <c r="S1317" s="465" t="e">
        <f t="shared" si="257"/>
        <v>#DIV/0!</v>
      </c>
    </row>
    <row r="1318" spans="1:19" ht="14.25" customHeight="1" hidden="1">
      <c r="A1318" s="46" t="s">
        <v>214</v>
      </c>
      <c r="B1318" s="71" t="s">
        <v>202</v>
      </c>
      <c r="C1318" s="72" t="s">
        <v>196</v>
      </c>
      <c r="D1318" s="72" t="s">
        <v>253</v>
      </c>
      <c r="E1318" s="72" t="s">
        <v>251</v>
      </c>
      <c r="F1318" s="74" t="s">
        <v>426</v>
      </c>
      <c r="G1318" s="96"/>
      <c r="H1318" s="75"/>
      <c r="I1318" s="75"/>
      <c r="J1318" s="96"/>
      <c r="K1318" s="287"/>
      <c r="L1318" s="313"/>
      <c r="M1318" s="75"/>
      <c r="N1318" s="96"/>
      <c r="O1318" s="96"/>
      <c r="P1318" s="287"/>
      <c r="Q1318" s="449"/>
      <c r="R1318" s="449"/>
      <c r="S1318" s="465" t="e">
        <f t="shared" si="257"/>
        <v>#DIV/0!</v>
      </c>
    </row>
    <row r="1319" spans="1:19" ht="14.25" customHeight="1" hidden="1">
      <c r="A1319" s="46" t="s">
        <v>222</v>
      </c>
      <c r="B1319" s="71" t="s">
        <v>202</v>
      </c>
      <c r="C1319" s="72" t="s">
        <v>196</v>
      </c>
      <c r="D1319" s="72" t="s">
        <v>253</v>
      </c>
      <c r="E1319" s="72" t="s">
        <v>251</v>
      </c>
      <c r="F1319" s="74" t="s">
        <v>426</v>
      </c>
      <c r="G1319" s="96">
        <f>G1320+G1321+G1322+G1323+G1324+G1325</f>
        <v>0</v>
      </c>
      <c r="H1319" s="75">
        <f>H1320+H1321+H1322+H1323+H1324+H1325</f>
        <v>0</v>
      </c>
      <c r="I1319" s="75">
        <f>I1320+I1321+I1322+I1323+I1324+I1325</f>
        <v>0</v>
      </c>
      <c r="J1319" s="96">
        <f>J1320+J1321+J1322+J1323+J1324+J1325</f>
        <v>0</v>
      </c>
      <c r="K1319" s="287">
        <f>K1320+K1321+K1322+K1323+K1324+K1325</f>
        <v>0</v>
      </c>
      <c r="L1319" s="313"/>
      <c r="M1319" s="75"/>
      <c r="N1319" s="96"/>
      <c r="O1319" s="96"/>
      <c r="P1319" s="287"/>
      <c r="Q1319" s="449"/>
      <c r="R1319" s="449"/>
      <c r="S1319" s="465" t="e">
        <f t="shared" si="257"/>
        <v>#DIV/0!</v>
      </c>
    </row>
    <row r="1320" spans="1:19" ht="14.25" customHeight="1" hidden="1">
      <c r="A1320" s="46" t="s">
        <v>223</v>
      </c>
      <c r="B1320" s="71" t="s">
        <v>202</v>
      </c>
      <c r="C1320" s="72" t="s">
        <v>196</v>
      </c>
      <c r="D1320" s="72" t="s">
        <v>253</v>
      </c>
      <c r="E1320" s="72" t="s">
        <v>251</v>
      </c>
      <c r="F1320" s="74" t="s">
        <v>426</v>
      </c>
      <c r="G1320" s="96"/>
      <c r="H1320" s="75"/>
      <c r="I1320" s="75"/>
      <c r="J1320" s="96"/>
      <c r="K1320" s="287"/>
      <c r="L1320" s="313"/>
      <c r="M1320" s="75"/>
      <c r="N1320" s="96"/>
      <c r="O1320" s="96"/>
      <c r="P1320" s="287"/>
      <c r="Q1320" s="449"/>
      <c r="R1320" s="449"/>
      <c r="S1320" s="465" t="e">
        <f t="shared" si="257"/>
        <v>#DIV/0!</v>
      </c>
    </row>
    <row r="1321" spans="1:19" ht="14.25" customHeight="1" hidden="1">
      <c r="A1321" s="46" t="s">
        <v>224</v>
      </c>
      <c r="B1321" s="71" t="s">
        <v>202</v>
      </c>
      <c r="C1321" s="72" t="s">
        <v>196</v>
      </c>
      <c r="D1321" s="72" t="s">
        <v>253</v>
      </c>
      <c r="E1321" s="72" t="s">
        <v>251</v>
      </c>
      <c r="F1321" s="74" t="s">
        <v>426</v>
      </c>
      <c r="G1321" s="96"/>
      <c r="H1321" s="75"/>
      <c r="I1321" s="75"/>
      <c r="J1321" s="96"/>
      <c r="K1321" s="287"/>
      <c r="L1321" s="313"/>
      <c r="M1321" s="75"/>
      <c r="N1321" s="96"/>
      <c r="O1321" s="96"/>
      <c r="P1321" s="287"/>
      <c r="Q1321" s="449"/>
      <c r="R1321" s="449"/>
      <c r="S1321" s="465" t="e">
        <f t="shared" si="257"/>
        <v>#DIV/0!</v>
      </c>
    </row>
    <row r="1322" spans="1:19" ht="14.25" customHeight="1" hidden="1">
      <c r="A1322" s="46" t="s">
        <v>242</v>
      </c>
      <c r="B1322" s="71" t="s">
        <v>202</v>
      </c>
      <c r="C1322" s="72" t="s">
        <v>196</v>
      </c>
      <c r="D1322" s="72" t="s">
        <v>253</v>
      </c>
      <c r="E1322" s="72" t="s">
        <v>251</v>
      </c>
      <c r="F1322" s="74" t="s">
        <v>426</v>
      </c>
      <c r="G1322" s="96"/>
      <c r="H1322" s="75"/>
      <c r="I1322" s="75"/>
      <c r="J1322" s="96"/>
      <c r="K1322" s="287"/>
      <c r="L1322" s="313"/>
      <c r="M1322" s="75"/>
      <c r="N1322" s="96"/>
      <c r="O1322" s="96"/>
      <c r="P1322" s="287"/>
      <c r="Q1322" s="449"/>
      <c r="R1322" s="449"/>
      <c r="S1322" s="465" t="e">
        <f t="shared" si="257"/>
        <v>#DIV/0!</v>
      </c>
    </row>
    <row r="1323" spans="1:19" ht="14.25" customHeight="1" hidden="1">
      <c r="A1323" s="46" t="s">
        <v>243</v>
      </c>
      <c r="B1323" s="71" t="s">
        <v>202</v>
      </c>
      <c r="C1323" s="72" t="s">
        <v>196</v>
      </c>
      <c r="D1323" s="72" t="s">
        <v>253</v>
      </c>
      <c r="E1323" s="72" t="s">
        <v>251</v>
      </c>
      <c r="F1323" s="74" t="s">
        <v>426</v>
      </c>
      <c r="G1323" s="96"/>
      <c r="H1323" s="75"/>
      <c r="I1323" s="75"/>
      <c r="J1323" s="96"/>
      <c r="K1323" s="287"/>
      <c r="L1323" s="313"/>
      <c r="M1323" s="75"/>
      <c r="N1323" s="96"/>
      <c r="O1323" s="96"/>
      <c r="P1323" s="287"/>
      <c r="Q1323" s="449"/>
      <c r="R1323" s="449"/>
      <c r="S1323" s="465" t="e">
        <f t="shared" si="257"/>
        <v>#DIV/0!</v>
      </c>
    </row>
    <row r="1324" spans="1:19" ht="14.25" customHeight="1" hidden="1">
      <c r="A1324" s="46" t="s">
        <v>225</v>
      </c>
      <c r="B1324" s="71" t="s">
        <v>202</v>
      </c>
      <c r="C1324" s="72" t="s">
        <v>196</v>
      </c>
      <c r="D1324" s="72" t="s">
        <v>253</v>
      </c>
      <c r="E1324" s="72" t="s">
        <v>251</v>
      </c>
      <c r="F1324" s="74" t="s">
        <v>426</v>
      </c>
      <c r="G1324" s="96"/>
      <c r="H1324" s="75"/>
      <c r="I1324" s="75"/>
      <c r="J1324" s="96"/>
      <c r="K1324" s="287"/>
      <c r="L1324" s="313"/>
      <c r="M1324" s="75"/>
      <c r="N1324" s="96"/>
      <c r="O1324" s="96"/>
      <c r="P1324" s="287"/>
      <c r="Q1324" s="449"/>
      <c r="R1324" s="449"/>
      <c r="S1324" s="465" t="e">
        <f t="shared" si="257"/>
        <v>#DIV/0!</v>
      </c>
    </row>
    <row r="1325" spans="1:19" ht="14.25" customHeight="1" hidden="1">
      <c r="A1325" s="46" t="s">
        <v>226</v>
      </c>
      <c r="B1325" s="71" t="s">
        <v>202</v>
      </c>
      <c r="C1325" s="72" t="s">
        <v>196</v>
      </c>
      <c r="D1325" s="72" t="s">
        <v>253</v>
      </c>
      <c r="E1325" s="72" t="s">
        <v>251</v>
      </c>
      <c r="F1325" s="74" t="s">
        <v>426</v>
      </c>
      <c r="G1325" s="96"/>
      <c r="H1325" s="75"/>
      <c r="I1325" s="75"/>
      <c r="J1325" s="96"/>
      <c r="K1325" s="287"/>
      <c r="L1325" s="313"/>
      <c r="M1325" s="75"/>
      <c r="N1325" s="96"/>
      <c r="O1325" s="96"/>
      <c r="P1325" s="287"/>
      <c r="Q1325" s="449"/>
      <c r="R1325" s="449"/>
      <c r="S1325" s="465" t="e">
        <f t="shared" si="257"/>
        <v>#DIV/0!</v>
      </c>
    </row>
    <row r="1326" spans="1:19" ht="14.25" customHeight="1" hidden="1">
      <c r="A1326" s="46" t="s">
        <v>386</v>
      </c>
      <c r="B1326" s="71" t="s">
        <v>202</v>
      </c>
      <c r="C1326" s="72" t="s">
        <v>196</v>
      </c>
      <c r="D1326" s="72" t="s">
        <v>253</v>
      </c>
      <c r="E1326" s="72" t="s">
        <v>56</v>
      </c>
      <c r="F1326" s="74" t="s">
        <v>426</v>
      </c>
      <c r="G1326" s="96"/>
      <c r="H1326" s="75"/>
      <c r="I1326" s="75"/>
      <c r="J1326" s="96"/>
      <c r="K1326" s="287"/>
      <c r="L1326" s="313"/>
      <c r="M1326" s="75"/>
      <c r="N1326" s="96"/>
      <c r="O1326" s="96"/>
      <c r="P1326" s="287"/>
      <c r="Q1326" s="449"/>
      <c r="R1326" s="449"/>
      <c r="S1326" s="465" t="e">
        <f t="shared" si="257"/>
        <v>#DIV/0!</v>
      </c>
    </row>
    <row r="1327" spans="1:19" ht="14.25" customHeight="1" hidden="1">
      <c r="A1327" s="46" t="s">
        <v>228</v>
      </c>
      <c r="B1327" s="71" t="s">
        <v>202</v>
      </c>
      <c r="C1327" s="72" t="s">
        <v>196</v>
      </c>
      <c r="D1327" s="72" t="s">
        <v>253</v>
      </c>
      <c r="E1327" s="72" t="s">
        <v>251</v>
      </c>
      <c r="F1327" s="74" t="s">
        <v>426</v>
      </c>
      <c r="G1327" s="96">
        <f>G1328+G1329</f>
        <v>0</v>
      </c>
      <c r="H1327" s="75">
        <f>H1328+H1329</f>
        <v>0</v>
      </c>
      <c r="I1327" s="75">
        <f>I1328+I1329</f>
        <v>0</v>
      </c>
      <c r="J1327" s="96">
        <f>J1328+J1329</f>
        <v>0</v>
      </c>
      <c r="K1327" s="287">
        <f>K1328+K1329</f>
        <v>0</v>
      </c>
      <c r="L1327" s="313"/>
      <c r="M1327" s="75"/>
      <c r="N1327" s="96"/>
      <c r="O1327" s="96"/>
      <c r="P1327" s="287"/>
      <c r="Q1327" s="449"/>
      <c r="R1327" s="449"/>
      <c r="S1327" s="465" t="e">
        <f t="shared" si="257"/>
        <v>#DIV/0!</v>
      </c>
    </row>
    <row r="1328" spans="1:19" ht="14.25" customHeight="1" hidden="1">
      <c r="A1328" s="46" t="s">
        <v>229</v>
      </c>
      <c r="B1328" s="71" t="s">
        <v>202</v>
      </c>
      <c r="C1328" s="72" t="s">
        <v>196</v>
      </c>
      <c r="D1328" s="72" t="s">
        <v>253</v>
      </c>
      <c r="E1328" s="72" t="s">
        <v>251</v>
      </c>
      <c r="F1328" s="74" t="s">
        <v>426</v>
      </c>
      <c r="G1328" s="96"/>
      <c r="H1328" s="75"/>
      <c r="I1328" s="75"/>
      <c r="J1328" s="96"/>
      <c r="K1328" s="287"/>
      <c r="L1328" s="313"/>
      <c r="M1328" s="75"/>
      <c r="N1328" s="96"/>
      <c r="O1328" s="96"/>
      <c r="P1328" s="287"/>
      <c r="Q1328" s="449"/>
      <c r="R1328" s="449"/>
      <c r="S1328" s="465" t="e">
        <f t="shared" si="257"/>
        <v>#DIV/0!</v>
      </c>
    </row>
    <row r="1329" spans="1:19" ht="14.25" customHeight="1" hidden="1">
      <c r="A1329" s="46" t="s">
        <v>230</v>
      </c>
      <c r="B1329" s="71" t="s">
        <v>202</v>
      </c>
      <c r="C1329" s="72" t="s">
        <v>196</v>
      </c>
      <c r="D1329" s="72" t="s">
        <v>253</v>
      </c>
      <c r="E1329" s="72" t="s">
        <v>251</v>
      </c>
      <c r="F1329" s="74" t="s">
        <v>426</v>
      </c>
      <c r="G1329" s="96"/>
      <c r="H1329" s="75"/>
      <c r="I1329" s="75"/>
      <c r="J1329" s="96"/>
      <c r="K1329" s="287"/>
      <c r="L1329" s="313"/>
      <c r="M1329" s="75"/>
      <c r="N1329" s="96"/>
      <c r="O1329" s="96"/>
      <c r="P1329" s="287"/>
      <c r="Q1329" s="449"/>
      <c r="R1329" s="449"/>
      <c r="S1329" s="465" t="e">
        <f t="shared" si="257"/>
        <v>#DIV/0!</v>
      </c>
    </row>
    <row r="1330" spans="1:19" ht="14.25" customHeight="1" hidden="1">
      <c r="A1330" s="46" t="s">
        <v>486</v>
      </c>
      <c r="B1330" s="71" t="s">
        <v>202</v>
      </c>
      <c r="C1330" s="72" t="s">
        <v>196</v>
      </c>
      <c r="D1330" s="72" t="s">
        <v>253</v>
      </c>
      <c r="E1330" s="72" t="s">
        <v>200</v>
      </c>
      <c r="F1330" s="74" t="s">
        <v>263</v>
      </c>
      <c r="G1330" s="96"/>
      <c r="H1330" s="75"/>
      <c r="I1330" s="75"/>
      <c r="J1330" s="96"/>
      <c r="K1330" s="287"/>
      <c r="L1330" s="313"/>
      <c r="M1330" s="75"/>
      <c r="N1330" s="96"/>
      <c r="O1330" s="96"/>
      <c r="P1330" s="287"/>
      <c r="Q1330" s="449"/>
      <c r="R1330" s="449"/>
      <c r="S1330" s="465" t="e">
        <f t="shared" si="257"/>
        <v>#DIV/0!</v>
      </c>
    </row>
    <row r="1331" spans="1:19" ht="14.25" customHeight="1" hidden="1">
      <c r="A1331" s="46" t="s">
        <v>42</v>
      </c>
      <c r="B1331" s="71" t="s">
        <v>202</v>
      </c>
      <c r="C1331" s="72" t="s">
        <v>196</v>
      </c>
      <c r="D1331" s="72" t="s">
        <v>253</v>
      </c>
      <c r="E1331" s="72" t="s">
        <v>329</v>
      </c>
      <c r="F1331" s="74" t="s">
        <v>43</v>
      </c>
      <c r="G1331" s="96"/>
      <c r="H1331" s="75"/>
      <c r="I1331" s="75"/>
      <c r="J1331" s="96"/>
      <c r="K1331" s="287"/>
      <c r="L1331" s="313"/>
      <c r="M1331" s="75"/>
      <c r="N1331" s="96"/>
      <c r="O1331" s="96"/>
      <c r="P1331" s="287"/>
      <c r="Q1331" s="449"/>
      <c r="R1331" s="449"/>
      <c r="S1331" s="465" t="e">
        <f t="shared" si="257"/>
        <v>#DIV/0!</v>
      </c>
    </row>
    <row r="1332" spans="1:19" ht="14.25" customHeight="1" hidden="1">
      <c r="A1332" s="108" t="s">
        <v>386</v>
      </c>
      <c r="B1332" s="90" t="s">
        <v>202</v>
      </c>
      <c r="C1332" s="129" t="s">
        <v>196</v>
      </c>
      <c r="D1332" s="129" t="s">
        <v>253</v>
      </c>
      <c r="E1332" s="129" t="s">
        <v>329</v>
      </c>
      <c r="F1332" s="131" t="s">
        <v>43</v>
      </c>
      <c r="G1332" s="96"/>
      <c r="H1332" s="75"/>
      <c r="I1332" s="75"/>
      <c r="J1332" s="96"/>
      <c r="K1332" s="287"/>
      <c r="L1332" s="313"/>
      <c r="M1332" s="75"/>
      <c r="N1332" s="96"/>
      <c r="O1332" s="96"/>
      <c r="P1332" s="287"/>
      <c r="Q1332" s="449"/>
      <c r="R1332" s="449"/>
      <c r="S1332" s="465" t="e">
        <f t="shared" si="257"/>
        <v>#DIV/0!</v>
      </c>
    </row>
    <row r="1333" spans="1:19" ht="14.25" customHeight="1" hidden="1">
      <c r="A1333" s="195" t="s">
        <v>124</v>
      </c>
      <c r="B1333" s="141" t="s">
        <v>202</v>
      </c>
      <c r="C1333" s="76" t="s">
        <v>196</v>
      </c>
      <c r="D1333" s="76" t="s">
        <v>198</v>
      </c>
      <c r="E1333" s="76" t="s">
        <v>24</v>
      </c>
      <c r="F1333" s="93" t="s">
        <v>238</v>
      </c>
      <c r="G1333" s="89">
        <f>G1334+G1335</f>
        <v>4542.297600000001</v>
      </c>
      <c r="H1333" s="82">
        <f>H1334+H1335</f>
        <v>4529.47131</v>
      </c>
      <c r="I1333" s="82">
        <f>I1334+I1335</f>
        <v>4961.109</v>
      </c>
      <c r="J1333" s="89">
        <f>J1334+J1335</f>
        <v>250.91186</v>
      </c>
      <c r="K1333" s="275">
        <f>K1334+K1335</f>
        <v>4793.209460000001</v>
      </c>
      <c r="L1333" s="315"/>
      <c r="M1333" s="82"/>
      <c r="N1333" s="89"/>
      <c r="O1333" s="89"/>
      <c r="P1333" s="275"/>
      <c r="Q1333" s="448"/>
      <c r="R1333" s="448"/>
      <c r="S1333" s="465" t="e">
        <f t="shared" si="257"/>
        <v>#DIV/0!</v>
      </c>
    </row>
    <row r="1334" spans="1:19" ht="13.5" hidden="1" thickBot="1">
      <c r="A1334" s="46"/>
      <c r="B1334" s="71"/>
      <c r="C1334" s="72"/>
      <c r="D1334" s="72"/>
      <c r="E1334" s="150" t="s">
        <v>57</v>
      </c>
      <c r="F1334" s="78" t="s">
        <v>58</v>
      </c>
      <c r="G1334" s="89">
        <f>4651.56*0.96</f>
        <v>4465.497600000001</v>
      </c>
      <c r="H1334" s="82">
        <f>4893.441*0.91</f>
        <v>4453.03131</v>
      </c>
      <c r="I1334" s="82">
        <f>5133.22*0.95</f>
        <v>4876.559</v>
      </c>
      <c r="J1334" s="89">
        <v>250.91186</v>
      </c>
      <c r="K1334" s="275">
        <f>G1334+J1334</f>
        <v>4716.409460000001</v>
      </c>
      <c r="L1334" s="315"/>
      <c r="M1334" s="82"/>
      <c r="N1334" s="89">
        <f>K1334+L1334+M1334</f>
        <v>4716.409460000001</v>
      </c>
      <c r="O1334" s="89"/>
      <c r="P1334" s="275">
        <v>187</v>
      </c>
      <c r="Q1334" s="448">
        <f>N1334+O1334+P1334</f>
        <v>4903.409460000001</v>
      </c>
      <c r="R1334" s="448">
        <f>O1334+P1334+Q1334</f>
        <v>5090.409460000001</v>
      </c>
      <c r="S1334" s="465">
        <f t="shared" si="257"/>
        <v>103.81367294584449</v>
      </c>
    </row>
    <row r="1335" spans="1:19" ht="13.5" hidden="1" thickBot="1">
      <c r="A1335" s="29"/>
      <c r="B1335" s="30"/>
      <c r="C1335" s="31"/>
      <c r="D1335" s="31"/>
      <c r="E1335" s="149" t="s">
        <v>525</v>
      </c>
      <c r="F1335" s="81" t="s">
        <v>58</v>
      </c>
      <c r="G1335" s="97">
        <f>80*0.96</f>
        <v>76.8</v>
      </c>
      <c r="H1335" s="111">
        <f>84*0.91</f>
        <v>76.44</v>
      </c>
      <c r="I1335" s="111">
        <f>89*0.95</f>
        <v>84.55</v>
      </c>
      <c r="J1335" s="97"/>
      <c r="K1335" s="269">
        <f>G1335+J1335</f>
        <v>76.8</v>
      </c>
      <c r="L1335" s="326"/>
      <c r="M1335" s="111">
        <v>5</v>
      </c>
      <c r="N1335" s="97">
        <f>K1335+L1335+M1335</f>
        <v>81.8</v>
      </c>
      <c r="O1335" s="97"/>
      <c r="P1335" s="269"/>
      <c r="Q1335" s="460">
        <f>N1335+O1335+P1335</f>
        <v>81.8</v>
      </c>
      <c r="R1335" s="460">
        <f>O1335+P1335+Q1335</f>
        <v>81.8</v>
      </c>
      <c r="S1335" s="496">
        <f t="shared" si="257"/>
        <v>100</v>
      </c>
    </row>
    <row r="1336" spans="1:19" ht="16.5" customHeight="1" thickBot="1">
      <c r="A1336" s="17" t="s">
        <v>31</v>
      </c>
      <c r="B1336" s="18" t="s">
        <v>201</v>
      </c>
      <c r="C1336" s="19" t="s">
        <v>196</v>
      </c>
      <c r="D1336" s="19" t="s">
        <v>219</v>
      </c>
      <c r="E1336" s="19"/>
      <c r="F1336" s="21"/>
      <c r="G1336" s="199">
        <f aca="true" t="shared" si="262" ref="G1336:R1337">G1337</f>
        <v>33399.08</v>
      </c>
      <c r="H1336" s="199" t="e">
        <f t="shared" si="262"/>
        <v>#REF!</v>
      </c>
      <c r="I1336" s="199" t="e">
        <f t="shared" si="262"/>
        <v>#REF!</v>
      </c>
      <c r="J1336" s="199">
        <f t="shared" si="262"/>
        <v>-1639.10537</v>
      </c>
      <c r="K1336" s="285">
        <f t="shared" si="262"/>
        <v>31759.97463</v>
      </c>
      <c r="L1336" s="285">
        <f t="shared" si="262"/>
        <v>0</v>
      </c>
      <c r="M1336" s="285">
        <f t="shared" si="262"/>
        <v>0</v>
      </c>
      <c r="N1336" s="285">
        <f t="shared" si="262"/>
        <v>31759.97463</v>
      </c>
      <c r="O1336" s="285">
        <f t="shared" si="262"/>
        <v>-0.91</v>
      </c>
      <c r="P1336" s="285">
        <f t="shared" si="262"/>
        <v>-3425.5</v>
      </c>
      <c r="Q1336" s="492">
        <f t="shared" si="262"/>
        <v>28333.56463</v>
      </c>
      <c r="R1336" s="493">
        <f t="shared" si="262"/>
        <v>26462.983079999998</v>
      </c>
      <c r="S1336" s="484">
        <f t="shared" si="257"/>
        <v>93.39800136542155</v>
      </c>
    </row>
    <row r="1337" spans="1:19" s="41" customFormat="1" ht="28.5" customHeight="1" hidden="1" thickBot="1">
      <c r="A1337" s="50"/>
      <c r="B1337" s="30" t="s">
        <v>201</v>
      </c>
      <c r="C1337" s="31" t="s">
        <v>196</v>
      </c>
      <c r="D1337" s="31" t="s">
        <v>219</v>
      </c>
      <c r="E1337" s="31"/>
      <c r="F1337" s="32"/>
      <c r="G1337" s="257">
        <f t="shared" si="262"/>
        <v>33399.08</v>
      </c>
      <c r="H1337" s="257" t="e">
        <f t="shared" si="262"/>
        <v>#REF!</v>
      </c>
      <c r="I1337" s="257" t="e">
        <f t="shared" si="262"/>
        <v>#REF!</v>
      </c>
      <c r="J1337" s="257">
        <f t="shared" si="262"/>
        <v>-1639.10537</v>
      </c>
      <c r="K1337" s="281">
        <f t="shared" si="262"/>
        <v>31759.97463</v>
      </c>
      <c r="L1337" s="281">
        <f t="shared" si="262"/>
        <v>0</v>
      </c>
      <c r="M1337" s="281">
        <f t="shared" si="262"/>
        <v>0</v>
      </c>
      <c r="N1337" s="281">
        <f t="shared" si="262"/>
        <v>31759.97463</v>
      </c>
      <c r="O1337" s="281">
        <f t="shared" si="262"/>
        <v>-0.91</v>
      </c>
      <c r="P1337" s="281">
        <f t="shared" si="262"/>
        <v>-3425.5</v>
      </c>
      <c r="Q1337" s="523">
        <f t="shared" si="262"/>
        <v>28333.56463</v>
      </c>
      <c r="R1337" s="523">
        <f t="shared" si="262"/>
        <v>26462.983079999998</v>
      </c>
      <c r="S1337" s="520">
        <f t="shared" si="257"/>
        <v>93.39800136542155</v>
      </c>
    </row>
    <row r="1338" spans="1:19" ht="48" customHeight="1">
      <c r="A1338" s="217" t="s">
        <v>241</v>
      </c>
      <c r="B1338" s="66" t="s">
        <v>202</v>
      </c>
      <c r="C1338" s="67" t="s">
        <v>196</v>
      </c>
      <c r="D1338" s="67" t="s">
        <v>219</v>
      </c>
      <c r="E1338" s="67" t="s">
        <v>205</v>
      </c>
      <c r="F1338" s="69"/>
      <c r="G1338" s="200">
        <f aca="true" t="shared" si="263" ref="G1338:N1338">G1339+G1364</f>
        <v>33399.08</v>
      </c>
      <c r="H1338" s="200" t="e">
        <f t="shared" si="263"/>
        <v>#REF!</v>
      </c>
      <c r="I1338" s="200" t="e">
        <f t="shared" si="263"/>
        <v>#REF!</v>
      </c>
      <c r="J1338" s="200">
        <f t="shared" si="263"/>
        <v>-1639.10537</v>
      </c>
      <c r="K1338" s="286">
        <f t="shared" si="263"/>
        <v>31759.97463</v>
      </c>
      <c r="L1338" s="286">
        <f t="shared" si="263"/>
        <v>0</v>
      </c>
      <c r="M1338" s="286">
        <f t="shared" si="263"/>
        <v>0</v>
      </c>
      <c r="N1338" s="286">
        <f t="shared" si="263"/>
        <v>31759.97463</v>
      </c>
      <c r="O1338" s="286">
        <f>O1339+O1364</f>
        <v>-0.91</v>
      </c>
      <c r="P1338" s="286">
        <f>P1339+P1364</f>
        <v>-3425.5</v>
      </c>
      <c r="Q1338" s="471">
        <f>Q1339+Q1364</f>
        <v>28333.56463</v>
      </c>
      <c r="R1338" s="472">
        <f>R1339+R1364</f>
        <v>26462.983079999998</v>
      </c>
      <c r="S1338" s="473">
        <f t="shared" si="257"/>
        <v>93.39800136542155</v>
      </c>
    </row>
    <row r="1339" spans="1:19" ht="42" customHeight="1">
      <c r="A1339" s="409" t="s">
        <v>61</v>
      </c>
      <c r="B1339" s="99" t="s">
        <v>202</v>
      </c>
      <c r="C1339" s="112" t="s">
        <v>196</v>
      </c>
      <c r="D1339" s="112" t="s">
        <v>219</v>
      </c>
      <c r="E1339" s="112" t="s">
        <v>60</v>
      </c>
      <c r="F1339" s="104"/>
      <c r="G1339" s="88">
        <f aca="true" t="shared" si="264" ref="G1339:N1339">G1340+G1360</f>
        <v>25093.2</v>
      </c>
      <c r="H1339" s="88">
        <f t="shared" si="264"/>
        <v>26317.8</v>
      </c>
      <c r="I1339" s="88">
        <f t="shared" si="264"/>
        <v>27531.7</v>
      </c>
      <c r="J1339" s="88">
        <f t="shared" si="264"/>
        <v>111</v>
      </c>
      <c r="K1339" s="290">
        <f t="shared" si="264"/>
        <v>25204.2</v>
      </c>
      <c r="L1339" s="290">
        <f t="shared" si="264"/>
        <v>0</v>
      </c>
      <c r="M1339" s="290">
        <f t="shared" si="264"/>
        <v>0</v>
      </c>
      <c r="N1339" s="290">
        <f t="shared" si="264"/>
        <v>25204.2</v>
      </c>
      <c r="O1339" s="290">
        <f>O1340+O1360</f>
        <v>0</v>
      </c>
      <c r="P1339" s="290">
        <f>P1340+P1360</f>
        <v>-2977.2</v>
      </c>
      <c r="Q1339" s="474">
        <f>Q1340+Q1360</f>
        <v>22227</v>
      </c>
      <c r="R1339" s="449">
        <f>R1340+R1360</f>
        <v>20769.05434</v>
      </c>
      <c r="S1339" s="465">
        <f t="shared" si="257"/>
        <v>93.44065478922032</v>
      </c>
    </row>
    <row r="1340" spans="1:19" ht="51.75" customHeight="1">
      <c r="A1340" s="40" t="s">
        <v>59</v>
      </c>
      <c r="B1340" s="30" t="s">
        <v>202</v>
      </c>
      <c r="C1340" s="31" t="s">
        <v>196</v>
      </c>
      <c r="D1340" s="31" t="s">
        <v>219</v>
      </c>
      <c r="E1340" s="31" t="s">
        <v>264</v>
      </c>
      <c r="F1340" s="32"/>
      <c r="G1340" s="257">
        <f aca="true" t="shared" si="265" ref="G1340:N1340">G1341+G1342</f>
        <v>1543.8</v>
      </c>
      <c r="H1340" s="257">
        <f t="shared" si="265"/>
        <v>1543.8</v>
      </c>
      <c r="I1340" s="257">
        <f t="shared" si="265"/>
        <v>1543.8</v>
      </c>
      <c r="J1340" s="257">
        <f t="shared" si="265"/>
        <v>111</v>
      </c>
      <c r="K1340" s="281">
        <f t="shared" si="265"/>
        <v>1654.8</v>
      </c>
      <c r="L1340" s="281">
        <f t="shared" si="265"/>
        <v>0</v>
      </c>
      <c r="M1340" s="281">
        <f t="shared" si="265"/>
        <v>0</v>
      </c>
      <c r="N1340" s="281">
        <f t="shared" si="265"/>
        <v>1654.8</v>
      </c>
      <c r="O1340" s="281">
        <f>O1341+O1342</f>
        <v>0</v>
      </c>
      <c r="P1340" s="281">
        <f>P1341+P1342</f>
        <v>22.8</v>
      </c>
      <c r="Q1340" s="474">
        <f>Q1341+Q1342</f>
        <v>1677.6000000000001</v>
      </c>
      <c r="R1340" s="449">
        <f>R1341+R1342</f>
        <v>1558.4036899999999</v>
      </c>
      <c r="S1340" s="465">
        <f t="shared" si="257"/>
        <v>92.8948313066285</v>
      </c>
    </row>
    <row r="1341" spans="1:19" ht="15.75" customHeight="1">
      <c r="A1341" s="181" t="s">
        <v>108</v>
      </c>
      <c r="B1341" s="141" t="s">
        <v>202</v>
      </c>
      <c r="C1341" s="76" t="s">
        <v>196</v>
      </c>
      <c r="D1341" s="76" t="s">
        <v>219</v>
      </c>
      <c r="E1341" s="76" t="s">
        <v>264</v>
      </c>
      <c r="F1341" s="78" t="s">
        <v>105</v>
      </c>
      <c r="G1341" s="89">
        <v>1470.3</v>
      </c>
      <c r="H1341" s="82">
        <f>H1353+H1354+H1355+H1356+H1357+H1358</f>
        <v>1543.8</v>
      </c>
      <c r="I1341" s="82">
        <f>I1353+I1354+I1355+I1356+I1357+I1358</f>
        <v>1543.8</v>
      </c>
      <c r="J1341" s="89">
        <v>105.7</v>
      </c>
      <c r="K1341" s="275">
        <v>1576</v>
      </c>
      <c r="L1341" s="315"/>
      <c r="M1341" s="82"/>
      <c r="N1341" s="89">
        <f>K1341+L1341+M1341</f>
        <v>1576</v>
      </c>
      <c r="O1341" s="89"/>
      <c r="P1341" s="275">
        <v>21.7</v>
      </c>
      <c r="Q1341" s="487">
        <f>N1341+O1341+P1341</f>
        <v>1597.7</v>
      </c>
      <c r="R1341" s="448">
        <v>1479.60369</v>
      </c>
      <c r="S1341" s="444">
        <f t="shared" si="257"/>
        <v>92.60835513550728</v>
      </c>
    </row>
    <row r="1342" spans="1:19" ht="15.75" customHeight="1">
      <c r="A1342" s="181" t="s">
        <v>109</v>
      </c>
      <c r="B1342" s="161" t="s">
        <v>202</v>
      </c>
      <c r="C1342" s="100" t="s">
        <v>196</v>
      </c>
      <c r="D1342" s="100" t="s">
        <v>219</v>
      </c>
      <c r="E1342" s="100" t="s">
        <v>264</v>
      </c>
      <c r="F1342" s="101" t="s">
        <v>106</v>
      </c>
      <c r="G1342" s="102">
        <v>73.5</v>
      </c>
      <c r="H1342" s="137">
        <f>H1343+H1346</f>
        <v>0</v>
      </c>
      <c r="I1342" s="137">
        <f>I1343+I1346</f>
        <v>0</v>
      </c>
      <c r="J1342" s="102">
        <v>5.3</v>
      </c>
      <c r="K1342" s="275">
        <v>78.8</v>
      </c>
      <c r="L1342" s="315"/>
      <c r="M1342" s="82"/>
      <c r="N1342" s="89">
        <f>K1342+L1342+M1342</f>
        <v>78.8</v>
      </c>
      <c r="O1342" s="89"/>
      <c r="P1342" s="275">
        <v>1.1</v>
      </c>
      <c r="Q1342" s="487">
        <f>N1342+O1342+P1342</f>
        <v>79.89999999999999</v>
      </c>
      <c r="R1342" s="448">
        <v>78.8</v>
      </c>
      <c r="S1342" s="444">
        <f t="shared" si="257"/>
        <v>98.6232790988736</v>
      </c>
    </row>
    <row r="1343" spans="1:19" ht="12.75" hidden="1">
      <c r="A1343" s="39"/>
      <c r="B1343" s="141" t="s">
        <v>202</v>
      </c>
      <c r="C1343" s="76" t="s">
        <v>196</v>
      </c>
      <c r="D1343" s="76" t="s">
        <v>219</v>
      </c>
      <c r="E1343" s="76" t="s">
        <v>264</v>
      </c>
      <c r="F1343" s="74" t="s">
        <v>209</v>
      </c>
      <c r="G1343" s="96">
        <f>SUM(G1344:G1345)</f>
        <v>0</v>
      </c>
      <c r="H1343" s="75">
        <f>SUM(H1344:H1345)</f>
        <v>0</v>
      </c>
      <c r="I1343" s="75">
        <f>SUM(I1344:I1345)</f>
        <v>0</v>
      </c>
      <c r="J1343" s="96">
        <f>SUM(J1344:J1345)</f>
        <v>0</v>
      </c>
      <c r="K1343" s="275">
        <f aca="true" t="shared" si="266" ref="K1343:K1359">G1343+J1343</f>
        <v>0</v>
      </c>
      <c r="L1343" s="315"/>
      <c r="M1343" s="82"/>
      <c r="N1343" s="89"/>
      <c r="O1343" s="89"/>
      <c r="P1343" s="275"/>
      <c r="Q1343" s="487"/>
      <c r="R1343" s="448"/>
      <c r="S1343" s="465" t="e">
        <f t="shared" si="257"/>
        <v>#DIV/0!</v>
      </c>
    </row>
    <row r="1344" spans="1:19" ht="12.75" hidden="1">
      <c r="A1344" s="192" t="s">
        <v>109</v>
      </c>
      <c r="B1344" s="141" t="s">
        <v>202</v>
      </c>
      <c r="C1344" s="76" t="s">
        <v>196</v>
      </c>
      <c r="D1344" s="76" t="s">
        <v>219</v>
      </c>
      <c r="E1344" s="76" t="s">
        <v>264</v>
      </c>
      <c r="F1344" s="74" t="s">
        <v>209</v>
      </c>
      <c r="G1344" s="96"/>
      <c r="H1344" s="75"/>
      <c r="I1344" s="75"/>
      <c r="J1344" s="96"/>
      <c r="K1344" s="275">
        <f t="shared" si="266"/>
        <v>0</v>
      </c>
      <c r="L1344" s="315"/>
      <c r="M1344" s="82"/>
      <c r="N1344" s="89"/>
      <c r="O1344" s="89"/>
      <c r="P1344" s="275"/>
      <c r="Q1344" s="487"/>
      <c r="R1344" s="448"/>
      <c r="S1344" s="465" t="e">
        <f t="shared" si="257"/>
        <v>#DIV/0!</v>
      </c>
    </row>
    <row r="1345" spans="1:19" ht="12.75" hidden="1">
      <c r="A1345" s="46" t="s">
        <v>214</v>
      </c>
      <c r="B1345" s="141" t="s">
        <v>202</v>
      </c>
      <c r="C1345" s="76" t="s">
        <v>196</v>
      </c>
      <c r="D1345" s="76" t="s">
        <v>219</v>
      </c>
      <c r="E1345" s="76" t="s">
        <v>264</v>
      </c>
      <c r="F1345" s="74" t="s">
        <v>209</v>
      </c>
      <c r="G1345" s="96"/>
      <c r="H1345" s="75"/>
      <c r="I1345" s="75"/>
      <c r="J1345" s="96"/>
      <c r="K1345" s="275">
        <f t="shared" si="266"/>
        <v>0</v>
      </c>
      <c r="L1345" s="315"/>
      <c r="M1345" s="82"/>
      <c r="N1345" s="89"/>
      <c r="O1345" s="89"/>
      <c r="P1345" s="275"/>
      <c r="Q1345" s="487"/>
      <c r="R1345" s="448"/>
      <c r="S1345" s="465" t="e">
        <f t="shared" si="257"/>
        <v>#DIV/0!</v>
      </c>
    </row>
    <row r="1346" spans="1:19" ht="12.75" hidden="1">
      <c r="A1346" s="46" t="s">
        <v>222</v>
      </c>
      <c r="B1346" s="141" t="s">
        <v>202</v>
      </c>
      <c r="C1346" s="76" t="s">
        <v>196</v>
      </c>
      <c r="D1346" s="76" t="s">
        <v>219</v>
      </c>
      <c r="E1346" s="76" t="s">
        <v>264</v>
      </c>
      <c r="F1346" s="74" t="s">
        <v>209</v>
      </c>
      <c r="G1346" s="96"/>
      <c r="H1346" s="75"/>
      <c r="I1346" s="75"/>
      <c r="J1346" s="96"/>
      <c r="K1346" s="275">
        <f t="shared" si="266"/>
        <v>0</v>
      </c>
      <c r="L1346" s="315"/>
      <c r="M1346" s="82"/>
      <c r="N1346" s="89"/>
      <c r="O1346" s="89"/>
      <c r="P1346" s="275"/>
      <c r="Q1346" s="487"/>
      <c r="R1346" s="448"/>
      <c r="S1346" s="465" t="e">
        <f t="shared" si="257"/>
        <v>#DIV/0!</v>
      </c>
    </row>
    <row r="1347" spans="1:19" ht="12.75" hidden="1">
      <c r="A1347" s="46" t="s">
        <v>223</v>
      </c>
      <c r="B1347" s="141" t="s">
        <v>202</v>
      </c>
      <c r="C1347" s="76" t="s">
        <v>196</v>
      </c>
      <c r="D1347" s="76" t="s">
        <v>219</v>
      </c>
      <c r="E1347" s="76" t="s">
        <v>264</v>
      </c>
      <c r="F1347" s="74" t="s">
        <v>209</v>
      </c>
      <c r="G1347" s="96"/>
      <c r="H1347" s="75"/>
      <c r="I1347" s="75"/>
      <c r="J1347" s="96"/>
      <c r="K1347" s="275">
        <f t="shared" si="266"/>
        <v>0</v>
      </c>
      <c r="L1347" s="315"/>
      <c r="M1347" s="82"/>
      <c r="N1347" s="89"/>
      <c r="O1347" s="89"/>
      <c r="P1347" s="275"/>
      <c r="Q1347" s="487"/>
      <c r="R1347" s="448"/>
      <c r="S1347" s="465" t="e">
        <f t="shared" si="257"/>
        <v>#DIV/0!</v>
      </c>
    </row>
    <row r="1348" spans="1:19" ht="12.75" hidden="1">
      <c r="A1348" s="46" t="s">
        <v>226</v>
      </c>
      <c r="B1348" s="141" t="s">
        <v>202</v>
      </c>
      <c r="C1348" s="76" t="s">
        <v>196</v>
      </c>
      <c r="D1348" s="76" t="s">
        <v>219</v>
      </c>
      <c r="E1348" s="76" t="s">
        <v>264</v>
      </c>
      <c r="F1348" s="74" t="s">
        <v>209</v>
      </c>
      <c r="G1348" s="96"/>
      <c r="H1348" s="75"/>
      <c r="I1348" s="75"/>
      <c r="J1348" s="96"/>
      <c r="K1348" s="275">
        <f t="shared" si="266"/>
        <v>0</v>
      </c>
      <c r="L1348" s="315"/>
      <c r="M1348" s="82"/>
      <c r="N1348" s="89"/>
      <c r="O1348" s="89"/>
      <c r="P1348" s="275"/>
      <c r="Q1348" s="487"/>
      <c r="R1348" s="448"/>
      <c r="S1348" s="465" t="e">
        <f t="shared" si="257"/>
        <v>#DIV/0!</v>
      </c>
    </row>
    <row r="1349" spans="1:19" ht="12.75" hidden="1">
      <c r="A1349" s="46" t="s">
        <v>228</v>
      </c>
      <c r="B1349" s="141" t="s">
        <v>202</v>
      </c>
      <c r="C1349" s="76" t="s">
        <v>196</v>
      </c>
      <c r="D1349" s="76" t="s">
        <v>219</v>
      </c>
      <c r="E1349" s="76" t="s">
        <v>264</v>
      </c>
      <c r="F1349" s="74" t="s">
        <v>209</v>
      </c>
      <c r="G1349" s="96">
        <f>SUM(G1350:G1351)</f>
        <v>0</v>
      </c>
      <c r="H1349" s="75">
        <f>SUM(H1350:H1351)</f>
        <v>0</v>
      </c>
      <c r="I1349" s="75">
        <f>SUM(I1350:I1351)</f>
        <v>0</v>
      </c>
      <c r="J1349" s="96">
        <f>SUM(J1350:J1351)</f>
        <v>0</v>
      </c>
      <c r="K1349" s="275">
        <f t="shared" si="266"/>
        <v>0</v>
      </c>
      <c r="L1349" s="315"/>
      <c r="M1349" s="82"/>
      <c r="N1349" s="89"/>
      <c r="O1349" s="89"/>
      <c r="P1349" s="275"/>
      <c r="Q1349" s="487"/>
      <c r="R1349" s="448"/>
      <c r="S1349" s="465" t="e">
        <f t="shared" si="257"/>
        <v>#DIV/0!</v>
      </c>
    </row>
    <row r="1350" spans="1:19" ht="12.75" hidden="1">
      <c r="A1350" s="46" t="s">
        <v>265</v>
      </c>
      <c r="B1350" s="141" t="s">
        <v>202</v>
      </c>
      <c r="C1350" s="76" t="s">
        <v>196</v>
      </c>
      <c r="D1350" s="76" t="s">
        <v>219</v>
      </c>
      <c r="E1350" s="76" t="s">
        <v>264</v>
      </c>
      <c r="F1350" s="74" t="s">
        <v>209</v>
      </c>
      <c r="G1350" s="96"/>
      <c r="H1350" s="75"/>
      <c r="I1350" s="75"/>
      <c r="J1350" s="96"/>
      <c r="K1350" s="275">
        <f t="shared" si="266"/>
        <v>0</v>
      </c>
      <c r="L1350" s="315"/>
      <c r="M1350" s="82"/>
      <c r="N1350" s="89"/>
      <c r="O1350" s="89"/>
      <c r="P1350" s="275"/>
      <c r="Q1350" s="487"/>
      <c r="R1350" s="448"/>
      <c r="S1350" s="465" t="e">
        <f t="shared" si="257"/>
        <v>#DIV/0!</v>
      </c>
    </row>
    <row r="1351" spans="1:19" ht="12.75" hidden="1">
      <c r="A1351" s="46" t="s">
        <v>230</v>
      </c>
      <c r="B1351" s="141" t="s">
        <v>202</v>
      </c>
      <c r="C1351" s="76" t="s">
        <v>196</v>
      </c>
      <c r="D1351" s="76" t="s">
        <v>219</v>
      </c>
      <c r="E1351" s="76" t="s">
        <v>264</v>
      </c>
      <c r="F1351" s="74" t="s">
        <v>209</v>
      </c>
      <c r="G1351" s="96"/>
      <c r="H1351" s="75"/>
      <c r="I1351" s="75"/>
      <c r="J1351" s="96"/>
      <c r="K1351" s="275">
        <f t="shared" si="266"/>
        <v>0</v>
      </c>
      <c r="L1351" s="315"/>
      <c r="M1351" s="82"/>
      <c r="N1351" s="89"/>
      <c r="O1351" s="89"/>
      <c r="P1351" s="275"/>
      <c r="Q1351" s="487"/>
      <c r="R1351" s="448"/>
      <c r="S1351" s="465" t="e">
        <f t="shared" si="257"/>
        <v>#DIV/0!</v>
      </c>
    </row>
    <row r="1352" spans="1:19" ht="12.75" hidden="1">
      <c r="A1352" s="135"/>
      <c r="B1352" s="90" t="s">
        <v>202</v>
      </c>
      <c r="C1352" s="91" t="s">
        <v>196</v>
      </c>
      <c r="D1352" s="91" t="s">
        <v>219</v>
      </c>
      <c r="E1352" s="91" t="s">
        <v>60</v>
      </c>
      <c r="F1352" s="93" t="s">
        <v>201</v>
      </c>
      <c r="G1352" s="96">
        <f>G1360</f>
        <v>23549.4</v>
      </c>
      <c r="H1352" s="75">
        <f>H1360</f>
        <v>24774</v>
      </c>
      <c r="I1352" s="75">
        <f>I1360</f>
        <v>25987.9</v>
      </c>
      <c r="J1352" s="96">
        <f>J1360</f>
        <v>0</v>
      </c>
      <c r="K1352" s="275">
        <f t="shared" si="266"/>
        <v>23549.4</v>
      </c>
      <c r="L1352" s="315"/>
      <c r="M1352" s="82"/>
      <c r="N1352" s="89"/>
      <c r="O1352" s="89"/>
      <c r="P1352" s="275"/>
      <c r="Q1352" s="487"/>
      <c r="R1352" s="448"/>
      <c r="S1352" s="465" t="e">
        <f t="shared" si="257"/>
        <v>#DIV/0!</v>
      </c>
    </row>
    <row r="1353" spans="1:19" ht="14.25" customHeight="1" hidden="1">
      <c r="A1353" s="40"/>
      <c r="B1353" s="30"/>
      <c r="C1353" s="79"/>
      <c r="D1353" s="79"/>
      <c r="E1353" s="79"/>
      <c r="F1353" s="81" t="s">
        <v>215</v>
      </c>
      <c r="G1353" s="97">
        <v>1543.8</v>
      </c>
      <c r="H1353" s="111">
        <v>1543.8</v>
      </c>
      <c r="I1353" s="111">
        <v>1543.8</v>
      </c>
      <c r="J1353" s="97">
        <v>1543.8</v>
      </c>
      <c r="K1353" s="275">
        <f t="shared" si="266"/>
        <v>3087.6</v>
      </c>
      <c r="L1353" s="315"/>
      <c r="M1353" s="82"/>
      <c r="N1353" s="89"/>
      <c r="O1353" s="89"/>
      <c r="P1353" s="275"/>
      <c r="Q1353" s="487"/>
      <c r="R1353" s="448"/>
      <c r="S1353" s="465" t="e">
        <f t="shared" si="257"/>
        <v>#DIV/0!</v>
      </c>
    </row>
    <row r="1354" spans="1:19" ht="1.5" customHeight="1" hidden="1" thickBot="1">
      <c r="A1354" s="39"/>
      <c r="B1354" s="71"/>
      <c r="C1354" s="76"/>
      <c r="D1354" s="76"/>
      <c r="E1354" s="76"/>
      <c r="F1354" s="78" t="s">
        <v>217</v>
      </c>
      <c r="G1354" s="89"/>
      <c r="H1354" s="82"/>
      <c r="I1354" s="82"/>
      <c r="J1354" s="89"/>
      <c r="K1354" s="275">
        <f t="shared" si="266"/>
        <v>0</v>
      </c>
      <c r="L1354" s="315"/>
      <c r="M1354" s="82"/>
      <c r="N1354" s="89"/>
      <c r="O1354" s="89"/>
      <c r="P1354" s="275"/>
      <c r="Q1354" s="487"/>
      <c r="R1354" s="448"/>
      <c r="S1354" s="465" t="e">
        <f t="shared" si="257"/>
        <v>#DIV/0!</v>
      </c>
    </row>
    <row r="1355" spans="1:19" ht="12.75" hidden="1">
      <c r="A1355" s="40"/>
      <c r="B1355" s="30"/>
      <c r="C1355" s="79"/>
      <c r="D1355" s="79"/>
      <c r="E1355" s="79"/>
      <c r="F1355" s="81" t="s">
        <v>233</v>
      </c>
      <c r="G1355" s="205"/>
      <c r="H1355" s="134"/>
      <c r="I1355" s="134"/>
      <c r="J1355" s="205"/>
      <c r="K1355" s="275">
        <f t="shared" si="266"/>
        <v>0</v>
      </c>
      <c r="L1355" s="315"/>
      <c r="M1355" s="82"/>
      <c r="N1355" s="89"/>
      <c r="O1355" s="89"/>
      <c r="P1355" s="275"/>
      <c r="Q1355" s="487"/>
      <c r="R1355" s="448"/>
      <c r="S1355" s="465" t="e">
        <f t="shared" si="257"/>
        <v>#DIV/0!</v>
      </c>
    </row>
    <row r="1356" spans="1:19" ht="12.75" hidden="1">
      <c r="A1356" s="39"/>
      <c r="B1356" s="71"/>
      <c r="C1356" s="76"/>
      <c r="D1356" s="76"/>
      <c r="E1356" s="76"/>
      <c r="F1356" s="78" t="s">
        <v>236</v>
      </c>
      <c r="G1356" s="89"/>
      <c r="H1356" s="82"/>
      <c r="I1356" s="82"/>
      <c r="J1356" s="89"/>
      <c r="K1356" s="275">
        <f t="shared" si="266"/>
        <v>0</v>
      </c>
      <c r="L1356" s="315"/>
      <c r="M1356" s="82"/>
      <c r="N1356" s="89"/>
      <c r="O1356" s="89"/>
      <c r="P1356" s="275"/>
      <c r="Q1356" s="487"/>
      <c r="R1356" s="448"/>
      <c r="S1356" s="465" t="e">
        <f t="shared" si="257"/>
        <v>#DIV/0!</v>
      </c>
    </row>
    <row r="1357" spans="1:19" ht="12.75" hidden="1">
      <c r="A1357" s="39"/>
      <c r="B1357" s="71"/>
      <c r="C1357" s="76"/>
      <c r="D1357" s="76"/>
      <c r="E1357" s="76"/>
      <c r="F1357" s="78" t="s">
        <v>238</v>
      </c>
      <c r="G1357" s="89"/>
      <c r="H1357" s="82"/>
      <c r="I1357" s="82"/>
      <c r="J1357" s="89"/>
      <c r="K1357" s="275">
        <f t="shared" si="266"/>
        <v>0</v>
      </c>
      <c r="L1357" s="315"/>
      <c r="M1357" s="82"/>
      <c r="N1357" s="89"/>
      <c r="O1357" s="89"/>
      <c r="P1357" s="275"/>
      <c r="Q1357" s="487"/>
      <c r="R1357" s="448"/>
      <c r="S1357" s="465" t="e">
        <f aca="true" t="shared" si="267" ref="S1357:S1420">R1357/Q1357*100</f>
        <v>#DIV/0!</v>
      </c>
    </row>
    <row r="1358" spans="1:19" ht="12.75" hidden="1">
      <c r="A1358" s="40"/>
      <c r="B1358" s="30"/>
      <c r="C1358" s="79"/>
      <c r="D1358" s="79"/>
      <c r="E1358" s="79"/>
      <c r="F1358" s="81" t="s">
        <v>239</v>
      </c>
      <c r="G1358" s="205"/>
      <c r="H1358" s="134"/>
      <c r="I1358" s="134"/>
      <c r="J1358" s="205"/>
      <c r="K1358" s="275">
        <f t="shared" si="266"/>
        <v>0</v>
      </c>
      <c r="L1358" s="315"/>
      <c r="M1358" s="82"/>
      <c r="N1358" s="89"/>
      <c r="O1358" s="89"/>
      <c r="P1358" s="275"/>
      <c r="Q1358" s="487"/>
      <c r="R1358" s="448"/>
      <c r="S1358" s="465" t="e">
        <f t="shared" si="267"/>
        <v>#DIV/0!</v>
      </c>
    </row>
    <row r="1359" spans="1:19" ht="12.75" hidden="1">
      <c r="A1359" s="181" t="s">
        <v>109</v>
      </c>
      <c r="B1359" s="141" t="s">
        <v>202</v>
      </c>
      <c r="C1359" s="76" t="s">
        <v>196</v>
      </c>
      <c r="D1359" s="76" t="s">
        <v>219</v>
      </c>
      <c r="E1359" s="76" t="s">
        <v>264</v>
      </c>
      <c r="F1359" s="81" t="s">
        <v>106</v>
      </c>
      <c r="G1359" s="205">
        <v>73.5</v>
      </c>
      <c r="H1359" s="134"/>
      <c r="I1359" s="134"/>
      <c r="J1359" s="205">
        <v>5.3</v>
      </c>
      <c r="K1359" s="275">
        <f t="shared" si="266"/>
        <v>78.8</v>
      </c>
      <c r="L1359" s="315"/>
      <c r="M1359" s="82"/>
      <c r="N1359" s="89"/>
      <c r="O1359" s="89"/>
      <c r="P1359" s="275"/>
      <c r="Q1359" s="487"/>
      <c r="R1359" s="448"/>
      <c r="S1359" s="465" t="e">
        <f t="shared" si="267"/>
        <v>#DIV/0!</v>
      </c>
    </row>
    <row r="1360" spans="1:19" ht="28.5" customHeight="1">
      <c r="A1360" s="39" t="s">
        <v>151</v>
      </c>
      <c r="B1360" s="71" t="s">
        <v>202</v>
      </c>
      <c r="C1360" s="72" t="s">
        <v>196</v>
      </c>
      <c r="D1360" s="72" t="s">
        <v>219</v>
      </c>
      <c r="E1360" s="72" t="s">
        <v>62</v>
      </c>
      <c r="F1360" s="74"/>
      <c r="G1360" s="96">
        <f aca="true" t="shared" si="268" ref="G1360:N1360">G1362+G1361</f>
        <v>23549.4</v>
      </c>
      <c r="H1360" s="96">
        <f t="shared" si="268"/>
        <v>24774</v>
      </c>
      <c r="I1360" s="96">
        <f t="shared" si="268"/>
        <v>25987.9</v>
      </c>
      <c r="J1360" s="96">
        <f t="shared" si="268"/>
        <v>0</v>
      </c>
      <c r="K1360" s="287">
        <f t="shared" si="268"/>
        <v>23549.4</v>
      </c>
      <c r="L1360" s="287">
        <f t="shared" si="268"/>
        <v>0</v>
      </c>
      <c r="M1360" s="287">
        <f t="shared" si="268"/>
        <v>0</v>
      </c>
      <c r="N1360" s="287">
        <f t="shared" si="268"/>
        <v>23549.4</v>
      </c>
      <c r="O1360" s="287">
        <f>O1362+O1361</f>
        <v>0</v>
      </c>
      <c r="P1360" s="287">
        <f>P1362+P1361</f>
        <v>-3000</v>
      </c>
      <c r="Q1360" s="474">
        <f>Q1362+Q1361</f>
        <v>20549.4</v>
      </c>
      <c r="R1360" s="449">
        <f>R1362+R1361</f>
        <v>19210.65065</v>
      </c>
      <c r="S1360" s="465">
        <f t="shared" si="267"/>
        <v>93.48521441015308</v>
      </c>
    </row>
    <row r="1361" spans="1:19" ht="15.75" customHeight="1">
      <c r="A1361" s="181" t="s">
        <v>109</v>
      </c>
      <c r="B1361" s="214" t="s">
        <v>202</v>
      </c>
      <c r="C1361" s="91" t="s">
        <v>196</v>
      </c>
      <c r="D1361" s="91" t="s">
        <v>219</v>
      </c>
      <c r="E1361" s="91" t="s">
        <v>62</v>
      </c>
      <c r="F1361" s="93" t="s">
        <v>106</v>
      </c>
      <c r="G1361" s="203"/>
      <c r="H1361" s="121"/>
      <c r="I1361" s="121"/>
      <c r="J1361" s="97">
        <v>320</v>
      </c>
      <c r="K1361" s="269">
        <v>320</v>
      </c>
      <c r="L1361" s="315"/>
      <c r="M1361" s="82"/>
      <c r="N1361" s="89">
        <f>K1361+L1361+M1361</f>
        <v>320</v>
      </c>
      <c r="O1361" s="89"/>
      <c r="P1361" s="275"/>
      <c r="Q1361" s="487">
        <f>N1361+O1361+P1361</f>
        <v>320</v>
      </c>
      <c r="R1361" s="448">
        <v>267.77833</v>
      </c>
      <c r="S1361" s="444">
        <f t="shared" si="267"/>
        <v>83.68072812499999</v>
      </c>
    </row>
    <row r="1362" spans="1:19" ht="15.75" customHeight="1" thickBot="1">
      <c r="A1362" s="194" t="s">
        <v>124</v>
      </c>
      <c r="B1362" s="210" t="s">
        <v>202</v>
      </c>
      <c r="C1362" s="118" t="s">
        <v>196</v>
      </c>
      <c r="D1362" s="118" t="s">
        <v>219</v>
      </c>
      <c r="E1362" s="118" t="s">
        <v>62</v>
      </c>
      <c r="F1362" s="119" t="s">
        <v>238</v>
      </c>
      <c r="G1362" s="94">
        <f>G1363</f>
        <v>23549.4</v>
      </c>
      <c r="H1362" s="94">
        <f>H1363</f>
        <v>24774</v>
      </c>
      <c r="I1362" s="94">
        <f>I1363</f>
        <v>25987.9</v>
      </c>
      <c r="J1362" s="94">
        <f>J1363</f>
        <v>-320</v>
      </c>
      <c r="K1362" s="291">
        <v>23229.4</v>
      </c>
      <c r="L1362" s="329"/>
      <c r="M1362" s="87"/>
      <c r="N1362" s="94">
        <f>N1363</f>
        <v>23229.4</v>
      </c>
      <c r="O1362" s="94">
        <f>O1363</f>
        <v>0</v>
      </c>
      <c r="P1362" s="291">
        <f>P1363</f>
        <v>-3000</v>
      </c>
      <c r="Q1362" s="488">
        <f>Q1363</f>
        <v>20229.4</v>
      </c>
      <c r="R1362" s="489">
        <v>18942.87232</v>
      </c>
      <c r="S1362" s="477">
        <f t="shared" si="267"/>
        <v>93.64030727554945</v>
      </c>
    </row>
    <row r="1363" spans="1:19" ht="16.5" customHeight="1" hidden="1" thickBot="1">
      <c r="A1363" s="43"/>
      <c r="B1363" s="53"/>
      <c r="C1363" s="84"/>
      <c r="D1363" s="84"/>
      <c r="E1363" s="84"/>
      <c r="F1363" s="86" t="s">
        <v>246</v>
      </c>
      <c r="G1363" s="206">
        <v>23549.4</v>
      </c>
      <c r="H1363" s="143">
        <v>24774</v>
      </c>
      <c r="I1363" s="143">
        <v>25987.9</v>
      </c>
      <c r="J1363" s="206">
        <v>-320</v>
      </c>
      <c r="K1363" s="174">
        <v>23229.4</v>
      </c>
      <c r="L1363" s="331"/>
      <c r="M1363" s="137"/>
      <c r="N1363" s="102">
        <f>K1363+L1363+M1363</f>
        <v>23229.4</v>
      </c>
      <c r="O1363" s="102"/>
      <c r="P1363" s="280">
        <v>-3000</v>
      </c>
      <c r="Q1363" s="485">
        <f>N1363+O1363+P1363</f>
        <v>20229.4</v>
      </c>
      <c r="R1363" s="485">
        <f>O1363+P1363+Q1363</f>
        <v>17229.4</v>
      </c>
      <c r="S1363" s="481">
        <f t="shared" si="267"/>
        <v>85.1700989648729</v>
      </c>
    </row>
    <row r="1364" spans="1:19" ht="51" hidden="1">
      <c r="A1364" s="65" t="s">
        <v>63</v>
      </c>
      <c r="B1364" s="66" t="s">
        <v>299</v>
      </c>
      <c r="C1364" s="67" t="s">
        <v>196</v>
      </c>
      <c r="D1364" s="67" t="s">
        <v>219</v>
      </c>
      <c r="E1364" s="67" t="s">
        <v>64</v>
      </c>
      <c r="F1364" s="69"/>
      <c r="G1364" s="200">
        <f aca="true" t="shared" si="269" ref="G1364:R1365">G1365</f>
        <v>8305.880000000001</v>
      </c>
      <c r="H1364" s="200" t="e">
        <f t="shared" si="269"/>
        <v>#REF!</v>
      </c>
      <c r="I1364" s="200" t="e">
        <f t="shared" si="269"/>
        <v>#REF!</v>
      </c>
      <c r="J1364" s="200">
        <f t="shared" si="269"/>
        <v>-1750.10537</v>
      </c>
      <c r="K1364" s="286">
        <f t="shared" si="269"/>
        <v>6555.77463</v>
      </c>
      <c r="L1364" s="286">
        <f t="shared" si="269"/>
        <v>0</v>
      </c>
      <c r="M1364" s="286">
        <f t="shared" si="269"/>
        <v>0</v>
      </c>
      <c r="N1364" s="286">
        <f t="shared" si="269"/>
        <v>6555.77463</v>
      </c>
      <c r="O1364" s="286">
        <f t="shared" si="269"/>
        <v>-0.91</v>
      </c>
      <c r="P1364" s="286">
        <f t="shared" si="269"/>
        <v>-448.3</v>
      </c>
      <c r="Q1364" s="449">
        <f t="shared" si="269"/>
        <v>6106.56463</v>
      </c>
      <c r="R1364" s="449">
        <f t="shared" si="269"/>
        <v>5693.92874</v>
      </c>
      <c r="S1364" s="465">
        <f t="shared" si="267"/>
        <v>93.24274915600132</v>
      </c>
    </row>
    <row r="1365" spans="1:19" ht="12.75" hidden="1">
      <c r="A1365" s="45" t="s">
        <v>400</v>
      </c>
      <c r="B1365" s="71" t="s">
        <v>299</v>
      </c>
      <c r="C1365" s="76" t="s">
        <v>196</v>
      </c>
      <c r="D1365" s="76" t="s">
        <v>219</v>
      </c>
      <c r="E1365" s="76" t="s">
        <v>64</v>
      </c>
      <c r="F1365" s="78"/>
      <c r="G1365" s="96">
        <f t="shared" si="269"/>
        <v>8305.880000000001</v>
      </c>
      <c r="H1365" s="75" t="e">
        <f t="shared" si="269"/>
        <v>#REF!</v>
      </c>
      <c r="I1365" s="75" t="e">
        <f t="shared" si="269"/>
        <v>#REF!</v>
      </c>
      <c r="J1365" s="96">
        <f t="shared" si="269"/>
        <v>-1750.10537</v>
      </c>
      <c r="K1365" s="287">
        <f t="shared" si="269"/>
        <v>6555.77463</v>
      </c>
      <c r="L1365" s="287">
        <f t="shared" si="269"/>
        <v>0</v>
      </c>
      <c r="M1365" s="287">
        <f t="shared" si="269"/>
        <v>0</v>
      </c>
      <c r="N1365" s="287">
        <f t="shared" si="269"/>
        <v>6555.77463</v>
      </c>
      <c r="O1365" s="287">
        <f t="shared" si="269"/>
        <v>-0.91</v>
      </c>
      <c r="P1365" s="287">
        <f t="shared" si="269"/>
        <v>-448.3</v>
      </c>
      <c r="Q1365" s="449">
        <f t="shared" si="269"/>
        <v>6106.56463</v>
      </c>
      <c r="R1365" s="449">
        <f t="shared" si="269"/>
        <v>5693.92874</v>
      </c>
      <c r="S1365" s="465">
        <f t="shared" si="267"/>
        <v>93.24274915600132</v>
      </c>
    </row>
    <row r="1366" spans="1:19" ht="44.25" customHeight="1">
      <c r="A1366" s="105" t="s">
        <v>65</v>
      </c>
      <c r="B1366" s="71" t="s">
        <v>299</v>
      </c>
      <c r="C1366" s="72" t="s">
        <v>196</v>
      </c>
      <c r="D1366" s="72" t="s">
        <v>219</v>
      </c>
      <c r="E1366" s="72" t="s">
        <v>64</v>
      </c>
      <c r="F1366" s="74"/>
      <c r="G1366" s="96">
        <f aca="true" t="shared" si="270" ref="G1366:N1366">G1367+G1368</f>
        <v>8305.880000000001</v>
      </c>
      <c r="H1366" s="96" t="e">
        <f t="shared" si="270"/>
        <v>#REF!</v>
      </c>
      <c r="I1366" s="96" t="e">
        <f t="shared" si="270"/>
        <v>#REF!</v>
      </c>
      <c r="J1366" s="96">
        <f t="shared" si="270"/>
        <v>-1750.10537</v>
      </c>
      <c r="K1366" s="287">
        <f t="shared" si="270"/>
        <v>6555.77463</v>
      </c>
      <c r="L1366" s="287">
        <f t="shared" si="270"/>
        <v>0</v>
      </c>
      <c r="M1366" s="287">
        <f t="shared" si="270"/>
        <v>0</v>
      </c>
      <c r="N1366" s="287">
        <f t="shared" si="270"/>
        <v>6555.77463</v>
      </c>
      <c r="O1366" s="287">
        <f>O1367+O1368</f>
        <v>-0.91</v>
      </c>
      <c r="P1366" s="287">
        <f>P1367+P1368</f>
        <v>-448.3</v>
      </c>
      <c r="Q1366" s="449">
        <f>Q1367+Q1368</f>
        <v>6106.56463</v>
      </c>
      <c r="R1366" s="449">
        <f>R1367+R1368</f>
        <v>5693.92874</v>
      </c>
      <c r="S1366" s="465">
        <f t="shared" si="267"/>
        <v>93.24274915600132</v>
      </c>
    </row>
    <row r="1367" spans="1:19" ht="15.75" customHeight="1">
      <c r="A1367" s="181" t="s">
        <v>120</v>
      </c>
      <c r="B1367" s="141" t="s">
        <v>299</v>
      </c>
      <c r="C1367" s="76" t="s">
        <v>196</v>
      </c>
      <c r="D1367" s="76" t="s">
        <v>219</v>
      </c>
      <c r="E1367" s="76" t="s">
        <v>64</v>
      </c>
      <c r="F1367" s="78" t="s">
        <v>112</v>
      </c>
      <c r="G1367" s="89">
        <v>5303</v>
      </c>
      <c r="H1367" s="82" t="e">
        <f>#REF!</f>
        <v>#REF!</v>
      </c>
      <c r="I1367" s="82" t="e">
        <f>#REF!</f>
        <v>#REF!</v>
      </c>
      <c r="J1367" s="89">
        <v>0</v>
      </c>
      <c r="K1367" s="275">
        <f>G1367+J1367</f>
        <v>5303</v>
      </c>
      <c r="L1367" s="315"/>
      <c r="M1367" s="82"/>
      <c r="N1367" s="89">
        <f>K1367+L1367+M1367</f>
        <v>5303</v>
      </c>
      <c r="O1367" s="89"/>
      <c r="P1367" s="275">
        <v>-448.3</v>
      </c>
      <c r="Q1367" s="448">
        <f>N1367+O1367+P1367</f>
        <v>4854.7</v>
      </c>
      <c r="R1367" s="448">
        <v>4442.06411</v>
      </c>
      <c r="S1367" s="444">
        <f t="shared" si="267"/>
        <v>91.50028034688034</v>
      </c>
    </row>
    <row r="1368" spans="1:19" ht="15.75" customHeight="1" thickBot="1">
      <c r="A1368" s="192" t="s">
        <v>120</v>
      </c>
      <c r="B1368" s="161" t="s">
        <v>299</v>
      </c>
      <c r="C1368" s="100" t="s">
        <v>196</v>
      </c>
      <c r="D1368" s="100" t="s">
        <v>219</v>
      </c>
      <c r="E1368" s="100" t="s">
        <v>66</v>
      </c>
      <c r="F1368" s="101" t="s">
        <v>112</v>
      </c>
      <c r="G1368" s="102">
        <v>3002.88</v>
      </c>
      <c r="H1368" s="137" t="e">
        <f>#REF!</f>
        <v>#REF!</v>
      </c>
      <c r="I1368" s="137" t="e">
        <f>#REF!</f>
        <v>#REF!</v>
      </c>
      <c r="J1368" s="102">
        <v>-1750.10537</v>
      </c>
      <c r="K1368" s="280">
        <f>G1368+J1368</f>
        <v>1252.7746300000001</v>
      </c>
      <c r="L1368" s="331"/>
      <c r="M1368" s="137"/>
      <c r="N1368" s="102">
        <f>K1368+L1368+M1368</f>
        <v>1252.7746300000001</v>
      </c>
      <c r="O1368" s="102">
        <v>-0.91</v>
      </c>
      <c r="P1368" s="280"/>
      <c r="Q1368" s="460">
        <f>N1368+O1368+P1368</f>
        <v>1251.86463</v>
      </c>
      <c r="R1368" s="460">
        <v>1251.86463</v>
      </c>
      <c r="S1368" s="491">
        <f t="shared" si="267"/>
        <v>100</v>
      </c>
    </row>
    <row r="1369" spans="1:19" ht="16.5" customHeight="1" thickBot="1">
      <c r="A1369" s="17" t="s">
        <v>55</v>
      </c>
      <c r="B1369" s="18" t="s">
        <v>201</v>
      </c>
      <c r="C1369" s="19" t="s">
        <v>196</v>
      </c>
      <c r="D1369" s="19" t="s">
        <v>253</v>
      </c>
      <c r="E1369" s="19"/>
      <c r="F1369" s="21"/>
      <c r="G1369" s="199">
        <f aca="true" t="shared" si="271" ref="G1369:N1369">G1417+G1370</f>
        <v>2586.6000000000004</v>
      </c>
      <c r="H1369" s="199" t="e">
        <f t="shared" si="271"/>
        <v>#REF!</v>
      </c>
      <c r="I1369" s="199" t="e">
        <f t="shared" si="271"/>
        <v>#REF!</v>
      </c>
      <c r="J1369" s="199">
        <f t="shared" si="271"/>
        <v>77.7</v>
      </c>
      <c r="K1369" s="285">
        <f t="shared" si="271"/>
        <v>2664.3</v>
      </c>
      <c r="L1369" s="285">
        <f t="shared" si="271"/>
        <v>-186</v>
      </c>
      <c r="M1369" s="285">
        <f t="shared" si="271"/>
        <v>366</v>
      </c>
      <c r="N1369" s="285">
        <f t="shared" si="271"/>
        <v>2844.3</v>
      </c>
      <c r="O1369" s="285">
        <f>O1417+O1370</f>
        <v>0</v>
      </c>
      <c r="P1369" s="285">
        <f>P1417+P1370</f>
        <v>15.8</v>
      </c>
      <c r="Q1369" s="492">
        <f>Q1417+Q1370</f>
        <v>2860.1000000000004</v>
      </c>
      <c r="R1369" s="493">
        <f>R1417+R1370</f>
        <v>2509.73383</v>
      </c>
      <c r="S1369" s="484">
        <f t="shared" si="267"/>
        <v>87.74986294185517</v>
      </c>
    </row>
    <row r="1370" spans="1:19" s="41" customFormat="1" ht="42" customHeight="1">
      <c r="A1370" s="109" t="s">
        <v>241</v>
      </c>
      <c r="B1370" s="99" t="s">
        <v>202</v>
      </c>
      <c r="C1370" s="112" t="s">
        <v>196</v>
      </c>
      <c r="D1370" s="112" t="s">
        <v>253</v>
      </c>
      <c r="E1370" s="112" t="s">
        <v>205</v>
      </c>
      <c r="F1370" s="104"/>
      <c r="G1370" s="88">
        <f aca="true" t="shared" si="272" ref="G1370:N1370">G1393</f>
        <v>1078.1000000000001</v>
      </c>
      <c r="H1370" s="88" t="e">
        <f t="shared" si="272"/>
        <v>#REF!</v>
      </c>
      <c r="I1370" s="88" t="e">
        <f t="shared" si="272"/>
        <v>#REF!</v>
      </c>
      <c r="J1370" s="88">
        <f t="shared" si="272"/>
        <v>77.7</v>
      </c>
      <c r="K1370" s="290">
        <f t="shared" si="272"/>
        <v>1155.8</v>
      </c>
      <c r="L1370" s="290">
        <f t="shared" si="272"/>
        <v>0</v>
      </c>
      <c r="M1370" s="290">
        <f t="shared" si="272"/>
        <v>0</v>
      </c>
      <c r="N1370" s="290">
        <f t="shared" si="272"/>
        <v>1155.8</v>
      </c>
      <c r="O1370" s="290">
        <f>O1393</f>
        <v>0</v>
      </c>
      <c r="P1370" s="290">
        <f>P1393</f>
        <v>15.8</v>
      </c>
      <c r="Q1370" s="480">
        <f>Q1393</f>
        <v>1171.6000000000001</v>
      </c>
      <c r="R1370" s="480">
        <f>R1393</f>
        <v>1037.7723899999999</v>
      </c>
      <c r="S1370" s="481">
        <f t="shared" si="267"/>
        <v>88.5773634346193</v>
      </c>
    </row>
    <row r="1371" spans="1:19" ht="6" customHeight="1" hidden="1">
      <c r="A1371" s="46" t="s">
        <v>220</v>
      </c>
      <c r="B1371" s="71" t="s">
        <v>202</v>
      </c>
      <c r="C1371" s="76" t="s">
        <v>196</v>
      </c>
      <c r="D1371" s="76" t="s">
        <v>253</v>
      </c>
      <c r="E1371" s="76" t="s">
        <v>205</v>
      </c>
      <c r="F1371" s="78" t="s">
        <v>201</v>
      </c>
      <c r="G1371" s="96">
        <f>G1372+G1392</f>
        <v>1078.1000000000001</v>
      </c>
      <c r="H1371" s="75" t="e">
        <f>H1372+H1392</f>
        <v>#REF!</v>
      </c>
      <c r="I1371" s="75" t="e">
        <f>I1372+I1392</f>
        <v>#REF!</v>
      </c>
      <c r="J1371" s="96">
        <f>J1372+J1392</f>
        <v>77.7</v>
      </c>
      <c r="K1371" s="287">
        <f>K1372+K1392</f>
        <v>1155.8</v>
      </c>
      <c r="L1371" s="313"/>
      <c r="M1371" s="75"/>
      <c r="N1371" s="96"/>
      <c r="O1371" s="96"/>
      <c r="P1371" s="287"/>
      <c r="Q1371" s="449"/>
      <c r="R1371" s="449"/>
      <c r="S1371" s="465" t="e">
        <f t="shared" si="267"/>
        <v>#DIV/0!</v>
      </c>
    </row>
    <row r="1372" spans="1:19" ht="12.75" hidden="1">
      <c r="A1372" s="46" t="s">
        <v>208</v>
      </c>
      <c r="B1372" s="71" t="s">
        <v>202</v>
      </c>
      <c r="C1372" s="76" t="s">
        <v>196</v>
      </c>
      <c r="D1372" s="76" t="s">
        <v>253</v>
      </c>
      <c r="E1372" s="76" t="s">
        <v>205</v>
      </c>
      <c r="F1372" s="78" t="s">
        <v>209</v>
      </c>
      <c r="G1372" s="96">
        <f>G1373+G1388</f>
        <v>0</v>
      </c>
      <c r="H1372" s="75">
        <f>H1373+H1388</f>
        <v>0</v>
      </c>
      <c r="I1372" s="75">
        <f>I1373+I1388</f>
        <v>0</v>
      </c>
      <c r="J1372" s="96">
        <f>J1373+J1388</f>
        <v>0</v>
      </c>
      <c r="K1372" s="287">
        <f>K1373+K1388</f>
        <v>0</v>
      </c>
      <c r="L1372" s="313"/>
      <c r="M1372" s="75"/>
      <c r="N1372" s="96"/>
      <c r="O1372" s="96"/>
      <c r="P1372" s="287"/>
      <c r="Q1372" s="449"/>
      <c r="R1372" s="449"/>
      <c r="S1372" s="465" t="e">
        <f t="shared" si="267"/>
        <v>#DIV/0!</v>
      </c>
    </row>
    <row r="1373" spans="1:19" ht="12.75" hidden="1">
      <c r="A1373" s="46" t="s">
        <v>210</v>
      </c>
      <c r="B1373" s="71" t="s">
        <v>202</v>
      </c>
      <c r="C1373" s="76" t="s">
        <v>196</v>
      </c>
      <c r="D1373" s="76" t="s">
        <v>253</v>
      </c>
      <c r="E1373" s="76" t="s">
        <v>205</v>
      </c>
      <c r="F1373" s="78" t="s">
        <v>209</v>
      </c>
      <c r="G1373" s="96">
        <f>G1374+G1378</f>
        <v>0</v>
      </c>
      <c r="H1373" s="75">
        <f>H1374+H1378</f>
        <v>0</v>
      </c>
      <c r="I1373" s="75">
        <f>I1374+I1378</f>
        <v>0</v>
      </c>
      <c r="J1373" s="96">
        <f>J1374+J1378</f>
        <v>0</v>
      </c>
      <c r="K1373" s="287">
        <f>K1374+K1378</f>
        <v>0</v>
      </c>
      <c r="L1373" s="313"/>
      <c r="M1373" s="75"/>
      <c r="N1373" s="96"/>
      <c r="O1373" s="96"/>
      <c r="P1373" s="287"/>
      <c r="Q1373" s="449"/>
      <c r="R1373" s="449"/>
      <c r="S1373" s="465" t="e">
        <f t="shared" si="267"/>
        <v>#DIV/0!</v>
      </c>
    </row>
    <row r="1374" spans="1:19" ht="12.75" hidden="1">
      <c r="A1374" s="45" t="s">
        <v>310</v>
      </c>
      <c r="B1374" s="71" t="s">
        <v>202</v>
      </c>
      <c r="C1374" s="76" t="s">
        <v>196</v>
      </c>
      <c r="D1374" s="76" t="s">
        <v>253</v>
      </c>
      <c r="E1374" s="76" t="s">
        <v>205</v>
      </c>
      <c r="F1374" s="78" t="s">
        <v>209</v>
      </c>
      <c r="G1374" s="96">
        <f>SUM(G1375:G1377)</f>
        <v>0</v>
      </c>
      <c r="H1374" s="75">
        <f>SUM(H1375:H1377)</f>
        <v>0</v>
      </c>
      <c r="I1374" s="75">
        <f>SUM(I1375:I1377)</f>
        <v>0</v>
      </c>
      <c r="J1374" s="96">
        <f>SUM(J1375:J1377)</f>
        <v>0</v>
      </c>
      <c r="K1374" s="287">
        <f>SUM(K1375:K1377)</f>
        <v>0</v>
      </c>
      <c r="L1374" s="313"/>
      <c r="M1374" s="75"/>
      <c r="N1374" s="96"/>
      <c r="O1374" s="96"/>
      <c r="P1374" s="287"/>
      <c r="Q1374" s="449"/>
      <c r="R1374" s="449"/>
      <c r="S1374" s="465" t="e">
        <f t="shared" si="267"/>
        <v>#DIV/0!</v>
      </c>
    </row>
    <row r="1375" spans="1:19" ht="12.75" hidden="1">
      <c r="A1375" s="39" t="s">
        <v>212</v>
      </c>
      <c r="B1375" s="71" t="s">
        <v>202</v>
      </c>
      <c r="C1375" s="76" t="s">
        <v>196</v>
      </c>
      <c r="D1375" s="76" t="s">
        <v>253</v>
      </c>
      <c r="E1375" s="76" t="s">
        <v>205</v>
      </c>
      <c r="F1375" s="78" t="s">
        <v>209</v>
      </c>
      <c r="G1375" s="96"/>
      <c r="H1375" s="75"/>
      <c r="I1375" s="75"/>
      <c r="J1375" s="96"/>
      <c r="K1375" s="287"/>
      <c r="L1375" s="313"/>
      <c r="M1375" s="75"/>
      <c r="N1375" s="96"/>
      <c r="O1375" s="96"/>
      <c r="P1375" s="287"/>
      <c r="Q1375" s="449"/>
      <c r="R1375" s="449"/>
      <c r="S1375" s="465" t="e">
        <f t="shared" si="267"/>
        <v>#DIV/0!</v>
      </c>
    </row>
    <row r="1376" spans="1:19" ht="12.75" hidden="1">
      <c r="A1376" s="39" t="s">
        <v>213</v>
      </c>
      <c r="B1376" s="71" t="s">
        <v>202</v>
      </c>
      <c r="C1376" s="76" t="s">
        <v>196</v>
      </c>
      <c r="D1376" s="76" t="s">
        <v>253</v>
      </c>
      <c r="E1376" s="76" t="s">
        <v>205</v>
      </c>
      <c r="F1376" s="78" t="s">
        <v>209</v>
      </c>
      <c r="G1376" s="96"/>
      <c r="H1376" s="75"/>
      <c r="I1376" s="75"/>
      <c r="J1376" s="96"/>
      <c r="K1376" s="287"/>
      <c r="L1376" s="313"/>
      <c r="M1376" s="75"/>
      <c r="N1376" s="96"/>
      <c r="O1376" s="96"/>
      <c r="P1376" s="287"/>
      <c r="Q1376" s="449"/>
      <c r="R1376" s="449"/>
      <c r="S1376" s="465" t="e">
        <f t="shared" si="267"/>
        <v>#DIV/0!</v>
      </c>
    </row>
    <row r="1377" spans="1:19" ht="12.75" hidden="1">
      <c r="A1377" s="39" t="s">
        <v>311</v>
      </c>
      <c r="B1377" s="71" t="s">
        <v>202</v>
      </c>
      <c r="C1377" s="76" t="s">
        <v>196</v>
      </c>
      <c r="D1377" s="76" t="s">
        <v>253</v>
      </c>
      <c r="E1377" s="76" t="s">
        <v>205</v>
      </c>
      <c r="F1377" s="78" t="s">
        <v>209</v>
      </c>
      <c r="G1377" s="96"/>
      <c r="H1377" s="75"/>
      <c r="I1377" s="75"/>
      <c r="J1377" s="96"/>
      <c r="K1377" s="287"/>
      <c r="L1377" s="313"/>
      <c r="M1377" s="75"/>
      <c r="N1377" s="96"/>
      <c r="O1377" s="96"/>
      <c r="P1377" s="287"/>
      <c r="Q1377" s="449"/>
      <c r="R1377" s="449"/>
      <c r="S1377" s="465" t="e">
        <f t="shared" si="267"/>
        <v>#DIV/0!</v>
      </c>
    </row>
    <row r="1378" spans="1:19" ht="12.75" hidden="1">
      <c r="A1378" s="39" t="s">
        <v>307</v>
      </c>
      <c r="B1378" s="71" t="s">
        <v>202</v>
      </c>
      <c r="C1378" s="76" t="s">
        <v>196</v>
      </c>
      <c r="D1378" s="76" t="s">
        <v>253</v>
      </c>
      <c r="E1378" s="76" t="s">
        <v>205</v>
      </c>
      <c r="F1378" s="78" t="s">
        <v>209</v>
      </c>
      <c r="G1378" s="96">
        <f>SUM(G1379:G1384)</f>
        <v>0</v>
      </c>
      <c r="H1378" s="75">
        <f>SUM(H1379:H1384)</f>
        <v>0</v>
      </c>
      <c r="I1378" s="75">
        <f>SUM(I1379:I1384)</f>
        <v>0</v>
      </c>
      <c r="J1378" s="96">
        <f>SUM(J1379:J1384)</f>
        <v>0</v>
      </c>
      <c r="K1378" s="287">
        <f>SUM(K1379:K1384)</f>
        <v>0</v>
      </c>
      <c r="L1378" s="313"/>
      <c r="M1378" s="75"/>
      <c r="N1378" s="96"/>
      <c r="O1378" s="96"/>
      <c r="P1378" s="287"/>
      <c r="Q1378" s="449"/>
      <c r="R1378" s="449"/>
      <c r="S1378" s="465" t="e">
        <f t="shared" si="267"/>
        <v>#DIV/0!</v>
      </c>
    </row>
    <row r="1379" spans="1:19" ht="12.75" hidden="1">
      <c r="A1379" s="39" t="s">
        <v>312</v>
      </c>
      <c r="B1379" s="71" t="s">
        <v>202</v>
      </c>
      <c r="C1379" s="76" t="s">
        <v>196</v>
      </c>
      <c r="D1379" s="76" t="s">
        <v>253</v>
      </c>
      <c r="E1379" s="76" t="s">
        <v>205</v>
      </c>
      <c r="F1379" s="78" t="s">
        <v>209</v>
      </c>
      <c r="G1379" s="96"/>
      <c r="H1379" s="75"/>
      <c r="I1379" s="75"/>
      <c r="J1379" s="96"/>
      <c r="K1379" s="287"/>
      <c r="L1379" s="313"/>
      <c r="M1379" s="75"/>
      <c r="N1379" s="96"/>
      <c r="O1379" s="96"/>
      <c r="P1379" s="287"/>
      <c r="Q1379" s="449"/>
      <c r="R1379" s="449"/>
      <c r="S1379" s="465" t="e">
        <f t="shared" si="267"/>
        <v>#DIV/0!</v>
      </c>
    </row>
    <row r="1380" spans="1:19" ht="12.75" hidden="1">
      <c r="A1380" s="39" t="s">
        <v>313</v>
      </c>
      <c r="B1380" s="71" t="s">
        <v>202</v>
      </c>
      <c r="C1380" s="76" t="s">
        <v>196</v>
      </c>
      <c r="D1380" s="76" t="s">
        <v>253</v>
      </c>
      <c r="E1380" s="76" t="s">
        <v>205</v>
      </c>
      <c r="F1380" s="78" t="s">
        <v>209</v>
      </c>
      <c r="G1380" s="96">
        <f>44-44</f>
        <v>0</v>
      </c>
      <c r="H1380" s="75">
        <f>44-44</f>
        <v>0</v>
      </c>
      <c r="I1380" s="75">
        <f>44-44</f>
        <v>0</v>
      </c>
      <c r="J1380" s="96">
        <f>44-44</f>
        <v>0</v>
      </c>
      <c r="K1380" s="287">
        <f>44-44</f>
        <v>0</v>
      </c>
      <c r="L1380" s="313"/>
      <c r="M1380" s="75"/>
      <c r="N1380" s="96"/>
      <c r="O1380" s="96"/>
      <c r="P1380" s="287"/>
      <c r="Q1380" s="449"/>
      <c r="R1380" s="449"/>
      <c r="S1380" s="465" t="e">
        <f t="shared" si="267"/>
        <v>#DIV/0!</v>
      </c>
    </row>
    <row r="1381" spans="1:19" ht="12" customHeight="1" hidden="1">
      <c r="A1381" s="39" t="s">
        <v>242</v>
      </c>
      <c r="B1381" s="71" t="s">
        <v>202</v>
      </c>
      <c r="C1381" s="76" t="s">
        <v>196</v>
      </c>
      <c r="D1381" s="76" t="s">
        <v>253</v>
      </c>
      <c r="E1381" s="76" t="s">
        <v>221</v>
      </c>
      <c r="F1381" s="78" t="s">
        <v>209</v>
      </c>
      <c r="G1381" s="96"/>
      <c r="H1381" s="75"/>
      <c r="I1381" s="75"/>
      <c r="J1381" s="96"/>
      <c r="K1381" s="287"/>
      <c r="L1381" s="313"/>
      <c r="M1381" s="75"/>
      <c r="N1381" s="96"/>
      <c r="O1381" s="96"/>
      <c r="P1381" s="287"/>
      <c r="Q1381" s="449"/>
      <c r="R1381" s="449"/>
      <c r="S1381" s="465" t="e">
        <f t="shared" si="267"/>
        <v>#DIV/0!</v>
      </c>
    </row>
    <row r="1382" spans="1:19" ht="0.75" customHeight="1" hidden="1">
      <c r="A1382" s="45" t="s">
        <v>314</v>
      </c>
      <c r="B1382" s="71" t="s">
        <v>202</v>
      </c>
      <c r="C1382" s="76" t="s">
        <v>196</v>
      </c>
      <c r="D1382" s="76" t="s">
        <v>253</v>
      </c>
      <c r="E1382" s="76" t="s">
        <v>205</v>
      </c>
      <c r="F1382" s="78" t="s">
        <v>209</v>
      </c>
      <c r="G1382" s="96"/>
      <c r="H1382" s="75"/>
      <c r="I1382" s="75"/>
      <c r="J1382" s="96"/>
      <c r="K1382" s="287"/>
      <c r="L1382" s="313"/>
      <c r="M1382" s="75"/>
      <c r="N1382" s="96"/>
      <c r="O1382" s="96"/>
      <c r="P1382" s="287"/>
      <c r="Q1382" s="449"/>
      <c r="R1382" s="449"/>
      <c r="S1382" s="465" t="e">
        <f t="shared" si="267"/>
        <v>#DIV/0!</v>
      </c>
    </row>
    <row r="1383" spans="1:19" ht="12.75" hidden="1">
      <c r="A1383" s="39" t="s">
        <v>315</v>
      </c>
      <c r="B1383" s="71" t="s">
        <v>202</v>
      </c>
      <c r="C1383" s="76" t="s">
        <v>196</v>
      </c>
      <c r="D1383" s="76" t="s">
        <v>253</v>
      </c>
      <c r="E1383" s="76" t="s">
        <v>205</v>
      </c>
      <c r="F1383" s="78" t="s">
        <v>209</v>
      </c>
      <c r="G1383" s="96"/>
      <c r="H1383" s="75"/>
      <c r="I1383" s="75"/>
      <c r="J1383" s="96"/>
      <c r="K1383" s="287"/>
      <c r="L1383" s="313"/>
      <c r="M1383" s="75"/>
      <c r="N1383" s="96"/>
      <c r="O1383" s="96"/>
      <c r="P1383" s="287"/>
      <c r="Q1383" s="449"/>
      <c r="R1383" s="449"/>
      <c r="S1383" s="465" t="e">
        <f t="shared" si="267"/>
        <v>#DIV/0!</v>
      </c>
    </row>
    <row r="1384" spans="1:19" ht="14.25" customHeight="1" hidden="1">
      <c r="A1384" s="39" t="s">
        <v>279</v>
      </c>
      <c r="B1384" s="71" t="s">
        <v>202</v>
      </c>
      <c r="C1384" s="76" t="s">
        <v>196</v>
      </c>
      <c r="D1384" s="76" t="s">
        <v>253</v>
      </c>
      <c r="E1384" s="76" t="s">
        <v>205</v>
      </c>
      <c r="F1384" s="78" t="s">
        <v>209</v>
      </c>
      <c r="G1384" s="96"/>
      <c r="H1384" s="75"/>
      <c r="I1384" s="75"/>
      <c r="J1384" s="96"/>
      <c r="K1384" s="287"/>
      <c r="L1384" s="313"/>
      <c r="M1384" s="75"/>
      <c r="N1384" s="96"/>
      <c r="O1384" s="96"/>
      <c r="P1384" s="287"/>
      <c r="Q1384" s="449"/>
      <c r="R1384" s="449"/>
      <c r="S1384" s="465" t="e">
        <f t="shared" si="267"/>
        <v>#DIV/0!</v>
      </c>
    </row>
    <row r="1385" spans="1:19" ht="12.75" hidden="1">
      <c r="A1385" s="45" t="s">
        <v>400</v>
      </c>
      <c r="B1385" s="71" t="s">
        <v>202</v>
      </c>
      <c r="C1385" s="76" t="s">
        <v>196</v>
      </c>
      <c r="D1385" s="76" t="s">
        <v>253</v>
      </c>
      <c r="E1385" s="76" t="s">
        <v>205</v>
      </c>
      <c r="F1385" s="78" t="s">
        <v>209</v>
      </c>
      <c r="G1385" s="96"/>
      <c r="H1385" s="75"/>
      <c r="I1385" s="75"/>
      <c r="J1385" s="96"/>
      <c r="K1385" s="287"/>
      <c r="L1385" s="313"/>
      <c r="M1385" s="75"/>
      <c r="N1385" s="96"/>
      <c r="O1385" s="96"/>
      <c r="P1385" s="287"/>
      <c r="Q1385" s="449"/>
      <c r="R1385" s="449"/>
      <c r="S1385" s="465" t="e">
        <f t="shared" si="267"/>
        <v>#DIV/0!</v>
      </c>
    </row>
    <row r="1386" spans="1:19" ht="11.25" customHeight="1" hidden="1">
      <c r="A1386" s="45" t="s">
        <v>401</v>
      </c>
      <c r="B1386" s="71" t="s">
        <v>202</v>
      </c>
      <c r="C1386" s="76" t="s">
        <v>196</v>
      </c>
      <c r="D1386" s="76" t="s">
        <v>253</v>
      </c>
      <c r="E1386" s="76" t="s">
        <v>205</v>
      </c>
      <c r="F1386" s="78" t="s">
        <v>209</v>
      </c>
      <c r="G1386" s="96"/>
      <c r="H1386" s="75"/>
      <c r="I1386" s="75"/>
      <c r="J1386" s="96"/>
      <c r="K1386" s="287"/>
      <c r="L1386" s="313"/>
      <c r="M1386" s="75"/>
      <c r="N1386" s="96"/>
      <c r="O1386" s="96"/>
      <c r="P1386" s="287"/>
      <c r="Q1386" s="449"/>
      <c r="R1386" s="449"/>
      <c r="S1386" s="465" t="e">
        <f t="shared" si="267"/>
        <v>#DIV/0!</v>
      </c>
    </row>
    <row r="1387" spans="1:19" ht="13.5" customHeight="1" hidden="1">
      <c r="A1387" s="39" t="s">
        <v>227</v>
      </c>
      <c r="B1387" s="71" t="s">
        <v>202</v>
      </c>
      <c r="C1387" s="76" t="s">
        <v>196</v>
      </c>
      <c r="D1387" s="76" t="s">
        <v>253</v>
      </c>
      <c r="E1387" s="76" t="s">
        <v>205</v>
      </c>
      <c r="F1387" s="78" t="s">
        <v>209</v>
      </c>
      <c r="G1387" s="96">
        <f>6-6</f>
        <v>0</v>
      </c>
      <c r="H1387" s="75">
        <f>6-6</f>
        <v>0</v>
      </c>
      <c r="I1387" s="75">
        <f>6-6</f>
        <v>0</v>
      </c>
      <c r="J1387" s="96">
        <f>6-6</f>
        <v>0</v>
      </c>
      <c r="K1387" s="287">
        <f>6-6</f>
        <v>0</v>
      </c>
      <c r="L1387" s="313"/>
      <c r="M1387" s="75"/>
      <c r="N1387" s="96"/>
      <c r="O1387" s="96"/>
      <c r="P1387" s="287"/>
      <c r="Q1387" s="449"/>
      <c r="R1387" s="449"/>
      <c r="S1387" s="465" t="e">
        <f t="shared" si="267"/>
        <v>#DIV/0!</v>
      </c>
    </row>
    <row r="1388" spans="1:19" ht="14.25" customHeight="1" hidden="1">
      <c r="A1388" s="46" t="s">
        <v>228</v>
      </c>
      <c r="B1388" s="71" t="s">
        <v>202</v>
      </c>
      <c r="C1388" s="76" t="s">
        <v>196</v>
      </c>
      <c r="D1388" s="76" t="s">
        <v>253</v>
      </c>
      <c r="E1388" s="76" t="s">
        <v>205</v>
      </c>
      <c r="F1388" s="78" t="s">
        <v>209</v>
      </c>
      <c r="G1388" s="96">
        <f>SUM(G1389:G1391)</f>
        <v>0</v>
      </c>
      <c r="H1388" s="75">
        <f>SUM(H1389:H1391)</f>
        <v>0</v>
      </c>
      <c r="I1388" s="75">
        <f>SUM(I1389:I1391)</f>
        <v>0</v>
      </c>
      <c r="J1388" s="96">
        <f>SUM(J1389:J1391)</f>
        <v>0</v>
      </c>
      <c r="K1388" s="287">
        <f>SUM(K1389:K1391)</f>
        <v>0</v>
      </c>
      <c r="L1388" s="313"/>
      <c r="M1388" s="75"/>
      <c r="N1388" s="96"/>
      <c r="O1388" s="96"/>
      <c r="P1388" s="287"/>
      <c r="Q1388" s="449"/>
      <c r="R1388" s="449"/>
      <c r="S1388" s="465" t="e">
        <f t="shared" si="267"/>
        <v>#DIV/0!</v>
      </c>
    </row>
    <row r="1389" spans="1:19" ht="12.75" hidden="1">
      <c r="A1389" s="39" t="s">
        <v>229</v>
      </c>
      <c r="B1389" s="71" t="s">
        <v>202</v>
      </c>
      <c r="C1389" s="76" t="s">
        <v>196</v>
      </c>
      <c r="D1389" s="76" t="s">
        <v>253</v>
      </c>
      <c r="E1389" s="76" t="s">
        <v>205</v>
      </c>
      <c r="F1389" s="78" t="s">
        <v>209</v>
      </c>
      <c r="G1389" s="96"/>
      <c r="H1389" s="75"/>
      <c r="I1389" s="75"/>
      <c r="J1389" s="96"/>
      <c r="K1389" s="287"/>
      <c r="L1389" s="313"/>
      <c r="M1389" s="75"/>
      <c r="N1389" s="96"/>
      <c r="O1389" s="96"/>
      <c r="P1389" s="287"/>
      <c r="Q1389" s="449"/>
      <c r="R1389" s="449"/>
      <c r="S1389" s="465" t="e">
        <f t="shared" si="267"/>
        <v>#DIV/0!</v>
      </c>
    </row>
    <row r="1390" spans="1:19" ht="12.75" hidden="1">
      <c r="A1390" s="45" t="s">
        <v>67</v>
      </c>
      <c r="B1390" s="71" t="s">
        <v>202</v>
      </c>
      <c r="C1390" s="76" t="s">
        <v>196</v>
      </c>
      <c r="D1390" s="76" t="s">
        <v>253</v>
      </c>
      <c r="E1390" s="76" t="s">
        <v>205</v>
      </c>
      <c r="F1390" s="78" t="s">
        <v>209</v>
      </c>
      <c r="G1390" s="96"/>
      <c r="H1390" s="75"/>
      <c r="I1390" s="75"/>
      <c r="J1390" s="96"/>
      <c r="K1390" s="287"/>
      <c r="L1390" s="313"/>
      <c r="M1390" s="75"/>
      <c r="N1390" s="96"/>
      <c r="O1390" s="96"/>
      <c r="P1390" s="287"/>
      <c r="Q1390" s="449"/>
      <c r="R1390" s="449"/>
      <c r="S1390" s="465" t="e">
        <f t="shared" si="267"/>
        <v>#DIV/0!</v>
      </c>
    </row>
    <row r="1391" spans="1:19" ht="12.75" customHeight="1" hidden="1">
      <c r="A1391" s="135" t="s">
        <v>230</v>
      </c>
      <c r="B1391" s="90" t="s">
        <v>202</v>
      </c>
      <c r="C1391" s="91" t="s">
        <v>196</v>
      </c>
      <c r="D1391" s="91" t="s">
        <v>253</v>
      </c>
      <c r="E1391" s="91" t="s">
        <v>205</v>
      </c>
      <c r="F1391" s="93" t="s">
        <v>209</v>
      </c>
      <c r="G1391" s="203"/>
      <c r="H1391" s="121"/>
      <c r="I1391" s="121"/>
      <c r="J1391" s="203"/>
      <c r="K1391" s="268"/>
      <c r="L1391" s="313"/>
      <c r="M1391" s="75"/>
      <c r="N1391" s="96"/>
      <c r="O1391" s="96"/>
      <c r="P1391" s="287"/>
      <c r="Q1391" s="449"/>
      <c r="R1391" s="449"/>
      <c r="S1391" s="465" t="e">
        <f t="shared" si="267"/>
        <v>#DIV/0!</v>
      </c>
    </row>
    <row r="1392" spans="1:19" ht="38.25" hidden="1">
      <c r="A1392" s="123" t="s">
        <v>241</v>
      </c>
      <c r="B1392" s="66" t="s">
        <v>202</v>
      </c>
      <c r="C1392" s="67" t="s">
        <v>196</v>
      </c>
      <c r="D1392" s="67" t="s">
        <v>253</v>
      </c>
      <c r="E1392" s="67" t="s">
        <v>205</v>
      </c>
      <c r="F1392" s="69"/>
      <c r="G1392" s="239">
        <f>G1393</f>
        <v>1078.1000000000001</v>
      </c>
      <c r="H1392" s="240" t="e">
        <f>H1393</f>
        <v>#REF!</v>
      </c>
      <c r="I1392" s="240" t="e">
        <f>I1393</f>
        <v>#REF!</v>
      </c>
      <c r="J1392" s="239">
        <f>J1393</f>
        <v>77.7</v>
      </c>
      <c r="K1392" s="305">
        <f>K1393</f>
        <v>1155.8</v>
      </c>
      <c r="L1392" s="318"/>
      <c r="M1392" s="235"/>
      <c r="N1392" s="234"/>
      <c r="O1392" s="234"/>
      <c r="P1392" s="298"/>
      <c r="Q1392" s="449"/>
      <c r="R1392" s="449"/>
      <c r="S1392" s="465" t="e">
        <f t="shared" si="267"/>
        <v>#DIV/0!</v>
      </c>
    </row>
    <row r="1393" spans="1:19" ht="51">
      <c r="A1393" s="46" t="s">
        <v>68</v>
      </c>
      <c r="B1393" s="71" t="s">
        <v>202</v>
      </c>
      <c r="C1393" s="72" t="s">
        <v>196</v>
      </c>
      <c r="D1393" s="72" t="s">
        <v>253</v>
      </c>
      <c r="E1393" s="72" t="s">
        <v>69</v>
      </c>
      <c r="F1393" s="74"/>
      <c r="G1393" s="96">
        <f aca="true" t="shared" si="273" ref="G1393:N1393">G1394+G1415</f>
        <v>1078.1000000000001</v>
      </c>
      <c r="H1393" s="96" t="e">
        <f t="shared" si="273"/>
        <v>#REF!</v>
      </c>
      <c r="I1393" s="96" t="e">
        <f t="shared" si="273"/>
        <v>#REF!</v>
      </c>
      <c r="J1393" s="96">
        <f t="shared" si="273"/>
        <v>77.7</v>
      </c>
      <c r="K1393" s="287">
        <f t="shared" si="273"/>
        <v>1155.8</v>
      </c>
      <c r="L1393" s="287">
        <f t="shared" si="273"/>
        <v>0</v>
      </c>
      <c r="M1393" s="287">
        <f t="shared" si="273"/>
        <v>0</v>
      </c>
      <c r="N1393" s="287">
        <f t="shared" si="273"/>
        <v>1155.8</v>
      </c>
      <c r="O1393" s="287">
        <f>O1394+O1415</f>
        <v>0</v>
      </c>
      <c r="P1393" s="287">
        <f>P1394+P1415</f>
        <v>15.8</v>
      </c>
      <c r="Q1393" s="449">
        <f>Q1394+Q1415</f>
        <v>1171.6000000000001</v>
      </c>
      <c r="R1393" s="449">
        <f>R1394+R1415</f>
        <v>1037.7723899999999</v>
      </c>
      <c r="S1393" s="465">
        <f t="shared" si="267"/>
        <v>88.5773634346193</v>
      </c>
    </row>
    <row r="1394" spans="1:19" ht="15.75" customHeight="1">
      <c r="A1394" s="181" t="s">
        <v>108</v>
      </c>
      <c r="B1394" s="71" t="s">
        <v>202</v>
      </c>
      <c r="C1394" s="76" t="s">
        <v>196</v>
      </c>
      <c r="D1394" s="76" t="s">
        <v>253</v>
      </c>
      <c r="E1394" s="76" t="s">
        <v>69</v>
      </c>
      <c r="F1394" s="78" t="s">
        <v>105</v>
      </c>
      <c r="G1394" s="89">
        <v>979.7</v>
      </c>
      <c r="H1394" s="82" t="e">
        <f>#REF!+#REF!+#REF!+H1416+#REF!</f>
        <v>#REF!</v>
      </c>
      <c r="I1394" s="82" t="e">
        <f>#REF!+#REF!+#REF!+I1416+#REF!</f>
        <v>#REF!</v>
      </c>
      <c r="J1394" s="89">
        <v>71</v>
      </c>
      <c r="K1394" s="275">
        <v>1050.7</v>
      </c>
      <c r="L1394" s="315"/>
      <c r="M1394" s="82"/>
      <c r="N1394" s="89">
        <f>K1394+L1394+M1394</f>
        <v>1050.7</v>
      </c>
      <c r="O1394" s="89"/>
      <c r="P1394" s="275">
        <v>14.4</v>
      </c>
      <c r="Q1394" s="448">
        <f>N1394+O1394+P1394</f>
        <v>1065.1000000000001</v>
      </c>
      <c r="R1394" s="448">
        <v>932.67239</v>
      </c>
      <c r="S1394" s="444">
        <f t="shared" si="267"/>
        <v>87.5666500798047</v>
      </c>
    </row>
    <row r="1395" spans="1:19" ht="15.75" customHeight="1" hidden="1">
      <c r="A1395" s="181" t="s">
        <v>109</v>
      </c>
      <c r="B1395" s="71" t="s">
        <v>202</v>
      </c>
      <c r="C1395" s="76" t="s">
        <v>196</v>
      </c>
      <c r="D1395" s="76" t="s">
        <v>253</v>
      </c>
      <c r="E1395" s="76" t="s">
        <v>69</v>
      </c>
      <c r="F1395" s="78" t="s">
        <v>209</v>
      </c>
      <c r="G1395" s="96">
        <f>G1396+G1400+G1409</f>
        <v>0</v>
      </c>
      <c r="H1395" s="75">
        <f>H1396+H1400+H1409</f>
        <v>0</v>
      </c>
      <c r="I1395" s="75">
        <f>I1396+I1400+I1409</f>
        <v>0</v>
      </c>
      <c r="J1395" s="96">
        <f>J1396+J1400+J1409</f>
        <v>0</v>
      </c>
      <c r="K1395" s="275">
        <f aca="true" t="shared" si="274" ref="K1395:K1414">G1395+J1395</f>
        <v>0</v>
      </c>
      <c r="L1395" s="315"/>
      <c r="M1395" s="82"/>
      <c r="N1395" s="89">
        <f aca="true" t="shared" si="275" ref="N1395:R1415">K1395+L1395+M1395</f>
        <v>0</v>
      </c>
      <c r="O1395" s="89">
        <f t="shared" si="275"/>
        <v>0</v>
      </c>
      <c r="P1395" s="275">
        <f t="shared" si="275"/>
        <v>0</v>
      </c>
      <c r="Q1395" s="448">
        <f t="shared" si="275"/>
        <v>0</v>
      </c>
      <c r="R1395" s="448">
        <f t="shared" si="275"/>
        <v>0</v>
      </c>
      <c r="S1395" s="444" t="e">
        <f t="shared" si="267"/>
        <v>#DIV/0!</v>
      </c>
    </row>
    <row r="1396" spans="1:19" ht="12.75" hidden="1">
      <c r="A1396" s="45" t="s">
        <v>310</v>
      </c>
      <c r="B1396" s="71" t="s">
        <v>202</v>
      </c>
      <c r="C1396" s="76" t="s">
        <v>196</v>
      </c>
      <c r="D1396" s="76" t="s">
        <v>253</v>
      </c>
      <c r="E1396" s="76" t="s">
        <v>69</v>
      </c>
      <c r="F1396" s="78" t="s">
        <v>209</v>
      </c>
      <c r="G1396" s="96">
        <f>SUM(G1397:G1399)</f>
        <v>0</v>
      </c>
      <c r="H1396" s="75">
        <f>SUM(H1397:H1399)</f>
        <v>0</v>
      </c>
      <c r="I1396" s="75">
        <f>SUM(I1397:I1399)</f>
        <v>0</v>
      </c>
      <c r="J1396" s="96">
        <f>SUM(J1397:J1399)</f>
        <v>0</v>
      </c>
      <c r="K1396" s="275">
        <f t="shared" si="274"/>
        <v>0</v>
      </c>
      <c r="L1396" s="315"/>
      <c r="M1396" s="82"/>
      <c r="N1396" s="89">
        <f t="shared" si="275"/>
        <v>0</v>
      </c>
      <c r="O1396" s="89">
        <f t="shared" si="275"/>
        <v>0</v>
      </c>
      <c r="P1396" s="275">
        <f t="shared" si="275"/>
        <v>0</v>
      </c>
      <c r="Q1396" s="448">
        <f t="shared" si="275"/>
        <v>0</v>
      </c>
      <c r="R1396" s="448">
        <f t="shared" si="275"/>
        <v>0</v>
      </c>
      <c r="S1396" s="444" t="e">
        <f t="shared" si="267"/>
        <v>#DIV/0!</v>
      </c>
    </row>
    <row r="1397" spans="1:19" ht="12.75" hidden="1">
      <c r="A1397" s="39" t="s">
        <v>212</v>
      </c>
      <c r="B1397" s="71" t="s">
        <v>202</v>
      </c>
      <c r="C1397" s="76" t="s">
        <v>196</v>
      </c>
      <c r="D1397" s="76" t="s">
        <v>253</v>
      </c>
      <c r="E1397" s="76" t="s">
        <v>69</v>
      </c>
      <c r="F1397" s="78" t="s">
        <v>209</v>
      </c>
      <c r="G1397" s="96"/>
      <c r="H1397" s="75"/>
      <c r="I1397" s="75"/>
      <c r="J1397" s="96"/>
      <c r="K1397" s="275">
        <f t="shared" si="274"/>
        <v>0</v>
      </c>
      <c r="L1397" s="315"/>
      <c r="M1397" s="82"/>
      <c r="N1397" s="89">
        <f t="shared" si="275"/>
        <v>0</v>
      </c>
      <c r="O1397" s="89">
        <f t="shared" si="275"/>
        <v>0</v>
      </c>
      <c r="P1397" s="275">
        <f t="shared" si="275"/>
        <v>0</v>
      </c>
      <c r="Q1397" s="448">
        <f t="shared" si="275"/>
        <v>0</v>
      </c>
      <c r="R1397" s="448">
        <f t="shared" si="275"/>
        <v>0</v>
      </c>
      <c r="S1397" s="444" t="e">
        <f t="shared" si="267"/>
        <v>#DIV/0!</v>
      </c>
    </row>
    <row r="1398" spans="1:19" ht="12.75" hidden="1">
      <c r="A1398" s="39" t="s">
        <v>213</v>
      </c>
      <c r="B1398" s="71" t="s">
        <v>202</v>
      </c>
      <c r="C1398" s="76" t="s">
        <v>196</v>
      </c>
      <c r="D1398" s="76" t="s">
        <v>253</v>
      </c>
      <c r="E1398" s="76" t="s">
        <v>69</v>
      </c>
      <c r="F1398" s="78" t="s">
        <v>209</v>
      </c>
      <c r="G1398" s="96"/>
      <c r="H1398" s="75"/>
      <c r="I1398" s="75"/>
      <c r="J1398" s="96"/>
      <c r="K1398" s="275">
        <f t="shared" si="274"/>
        <v>0</v>
      </c>
      <c r="L1398" s="315"/>
      <c r="M1398" s="82"/>
      <c r="N1398" s="89">
        <f t="shared" si="275"/>
        <v>0</v>
      </c>
      <c r="O1398" s="89">
        <f t="shared" si="275"/>
        <v>0</v>
      </c>
      <c r="P1398" s="275">
        <f t="shared" si="275"/>
        <v>0</v>
      </c>
      <c r="Q1398" s="448">
        <f t="shared" si="275"/>
        <v>0</v>
      </c>
      <c r="R1398" s="448">
        <f t="shared" si="275"/>
        <v>0</v>
      </c>
      <c r="S1398" s="444" t="e">
        <f t="shared" si="267"/>
        <v>#DIV/0!</v>
      </c>
    </row>
    <row r="1399" spans="1:19" ht="12.75" hidden="1">
      <c r="A1399" s="39" t="s">
        <v>311</v>
      </c>
      <c r="B1399" s="71" t="s">
        <v>202</v>
      </c>
      <c r="C1399" s="76" t="s">
        <v>196</v>
      </c>
      <c r="D1399" s="76" t="s">
        <v>253</v>
      </c>
      <c r="E1399" s="76" t="s">
        <v>69</v>
      </c>
      <c r="F1399" s="78" t="s">
        <v>209</v>
      </c>
      <c r="G1399" s="96"/>
      <c r="H1399" s="75"/>
      <c r="I1399" s="75"/>
      <c r="J1399" s="96"/>
      <c r="K1399" s="275">
        <f t="shared" si="274"/>
        <v>0</v>
      </c>
      <c r="L1399" s="315"/>
      <c r="M1399" s="82"/>
      <c r="N1399" s="89">
        <f t="shared" si="275"/>
        <v>0</v>
      </c>
      <c r="O1399" s="89">
        <f t="shared" si="275"/>
        <v>0</v>
      </c>
      <c r="P1399" s="275">
        <f t="shared" si="275"/>
        <v>0</v>
      </c>
      <c r="Q1399" s="448">
        <f t="shared" si="275"/>
        <v>0</v>
      </c>
      <c r="R1399" s="448">
        <f t="shared" si="275"/>
        <v>0</v>
      </c>
      <c r="S1399" s="444" t="e">
        <f t="shared" si="267"/>
        <v>#DIV/0!</v>
      </c>
    </row>
    <row r="1400" spans="1:19" ht="12.75" hidden="1">
      <c r="A1400" s="39" t="s">
        <v>307</v>
      </c>
      <c r="B1400" s="71" t="s">
        <v>202</v>
      </c>
      <c r="C1400" s="76" t="s">
        <v>196</v>
      </c>
      <c r="D1400" s="76" t="s">
        <v>253</v>
      </c>
      <c r="E1400" s="76" t="s">
        <v>69</v>
      </c>
      <c r="F1400" s="78" t="s">
        <v>209</v>
      </c>
      <c r="G1400" s="96"/>
      <c r="H1400" s="75"/>
      <c r="I1400" s="75"/>
      <c r="J1400" s="96"/>
      <c r="K1400" s="275">
        <f t="shared" si="274"/>
        <v>0</v>
      </c>
      <c r="L1400" s="315"/>
      <c r="M1400" s="82"/>
      <c r="N1400" s="89">
        <f t="shared" si="275"/>
        <v>0</v>
      </c>
      <c r="O1400" s="89">
        <f t="shared" si="275"/>
        <v>0</v>
      </c>
      <c r="P1400" s="275">
        <f t="shared" si="275"/>
        <v>0</v>
      </c>
      <c r="Q1400" s="448">
        <f t="shared" si="275"/>
        <v>0</v>
      </c>
      <c r="R1400" s="448">
        <f t="shared" si="275"/>
        <v>0</v>
      </c>
      <c r="S1400" s="444" t="e">
        <f t="shared" si="267"/>
        <v>#DIV/0!</v>
      </c>
    </row>
    <row r="1401" spans="1:19" ht="12.75" hidden="1">
      <c r="A1401" s="39" t="s">
        <v>312</v>
      </c>
      <c r="B1401" s="71" t="s">
        <v>202</v>
      </c>
      <c r="C1401" s="76" t="s">
        <v>196</v>
      </c>
      <c r="D1401" s="76" t="s">
        <v>253</v>
      </c>
      <c r="E1401" s="76" t="s">
        <v>69</v>
      </c>
      <c r="F1401" s="78" t="s">
        <v>209</v>
      </c>
      <c r="G1401" s="96"/>
      <c r="H1401" s="75"/>
      <c r="I1401" s="75"/>
      <c r="J1401" s="96"/>
      <c r="K1401" s="275">
        <f t="shared" si="274"/>
        <v>0</v>
      </c>
      <c r="L1401" s="315"/>
      <c r="M1401" s="82"/>
      <c r="N1401" s="89">
        <f t="shared" si="275"/>
        <v>0</v>
      </c>
      <c r="O1401" s="89">
        <f t="shared" si="275"/>
        <v>0</v>
      </c>
      <c r="P1401" s="275">
        <f t="shared" si="275"/>
        <v>0</v>
      </c>
      <c r="Q1401" s="448">
        <f t="shared" si="275"/>
        <v>0</v>
      </c>
      <c r="R1401" s="448">
        <f t="shared" si="275"/>
        <v>0</v>
      </c>
      <c r="S1401" s="444" t="e">
        <f t="shared" si="267"/>
        <v>#DIV/0!</v>
      </c>
    </row>
    <row r="1402" spans="1:19" ht="12.75" customHeight="1" hidden="1">
      <c r="A1402" s="39" t="s">
        <v>313</v>
      </c>
      <c r="B1402" s="71" t="s">
        <v>202</v>
      </c>
      <c r="C1402" s="76" t="s">
        <v>196</v>
      </c>
      <c r="D1402" s="76" t="s">
        <v>253</v>
      </c>
      <c r="E1402" s="76" t="s">
        <v>69</v>
      </c>
      <c r="F1402" s="78" t="s">
        <v>209</v>
      </c>
      <c r="G1402" s="96"/>
      <c r="H1402" s="75"/>
      <c r="I1402" s="75"/>
      <c r="J1402" s="96"/>
      <c r="K1402" s="275">
        <f t="shared" si="274"/>
        <v>0</v>
      </c>
      <c r="L1402" s="315"/>
      <c r="M1402" s="82"/>
      <c r="N1402" s="89">
        <f t="shared" si="275"/>
        <v>0</v>
      </c>
      <c r="O1402" s="89">
        <f t="shared" si="275"/>
        <v>0</v>
      </c>
      <c r="P1402" s="275">
        <f t="shared" si="275"/>
        <v>0</v>
      </c>
      <c r="Q1402" s="448">
        <f t="shared" si="275"/>
        <v>0</v>
      </c>
      <c r="R1402" s="448">
        <f t="shared" si="275"/>
        <v>0</v>
      </c>
      <c r="S1402" s="444" t="e">
        <f t="shared" si="267"/>
        <v>#DIV/0!</v>
      </c>
    </row>
    <row r="1403" spans="1:19" ht="12.75" hidden="1">
      <c r="A1403" s="39" t="s">
        <v>242</v>
      </c>
      <c r="B1403" s="71" t="s">
        <v>202</v>
      </c>
      <c r="C1403" s="76" t="s">
        <v>196</v>
      </c>
      <c r="D1403" s="76" t="s">
        <v>253</v>
      </c>
      <c r="E1403" s="76" t="s">
        <v>69</v>
      </c>
      <c r="F1403" s="78" t="s">
        <v>209</v>
      </c>
      <c r="G1403" s="96"/>
      <c r="H1403" s="75"/>
      <c r="I1403" s="75"/>
      <c r="J1403" s="96"/>
      <c r="K1403" s="275">
        <f t="shared" si="274"/>
        <v>0</v>
      </c>
      <c r="L1403" s="315"/>
      <c r="M1403" s="82"/>
      <c r="N1403" s="89">
        <f t="shared" si="275"/>
        <v>0</v>
      </c>
      <c r="O1403" s="89">
        <f t="shared" si="275"/>
        <v>0</v>
      </c>
      <c r="P1403" s="275">
        <f t="shared" si="275"/>
        <v>0</v>
      </c>
      <c r="Q1403" s="448">
        <f t="shared" si="275"/>
        <v>0</v>
      </c>
      <c r="R1403" s="448">
        <f t="shared" si="275"/>
        <v>0</v>
      </c>
      <c r="S1403" s="444" t="e">
        <f t="shared" si="267"/>
        <v>#DIV/0!</v>
      </c>
    </row>
    <row r="1404" spans="1:19" ht="12.75" hidden="1">
      <c r="A1404" s="45" t="s">
        <v>314</v>
      </c>
      <c r="B1404" s="71" t="s">
        <v>202</v>
      </c>
      <c r="C1404" s="76" t="s">
        <v>196</v>
      </c>
      <c r="D1404" s="76" t="s">
        <v>253</v>
      </c>
      <c r="E1404" s="76" t="s">
        <v>69</v>
      </c>
      <c r="F1404" s="78" t="s">
        <v>209</v>
      </c>
      <c r="G1404" s="96"/>
      <c r="H1404" s="75"/>
      <c r="I1404" s="75"/>
      <c r="J1404" s="96"/>
      <c r="K1404" s="275">
        <f t="shared" si="274"/>
        <v>0</v>
      </c>
      <c r="L1404" s="315"/>
      <c r="M1404" s="82"/>
      <c r="N1404" s="89">
        <f t="shared" si="275"/>
        <v>0</v>
      </c>
      <c r="O1404" s="89">
        <f t="shared" si="275"/>
        <v>0</v>
      </c>
      <c r="P1404" s="275">
        <f t="shared" si="275"/>
        <v>0</v>
      </c>
      <c r="Q1404" s="448">
        <f t="shared" si="275"/>
        <v>0</v>
      </c>
      <c r="R1404" s="448">
        <f t="shared" si="275"/>
        <v>0</v>
      </c>
      <c r="S1404" s="444" t="e">
        <f t="shared" si="267"/>
        <v>#DIV/0!</v>
      </c>
    </row>
    <row r="1405" spans="1:19" ht="12.75" hidden="1">
      <c r="A1405" s="39" t="s">
        <v>315</v>
      </c>
      <c r="B1405" s="71" t="s">
        <v>202</v>
      </c>
      <c r="C1405" s="76" t="s">
        <v>196</v>
      </c>
      <c r="D1405" s="76" t="s">
        <v>253</v>
      </c>
      <c r="E1405" s="76" t="s">
        <v>69</v>
      </c>
      <c r="F1405" s="78" t="s">
        <v>209</v>
      </c>
      <c r="G1405" s="96"/>
      <c r="H1405" s="75"/>
      <c r="I1405" s="75"/>
      <c r="J1405" s="96"/>
      <c r="K1405" s="275">
        <f t="shared" si="274"/>
        <v>0</v>
      </c>
      <c r="L1405" s="315"/>
      <c r="M1405" s="82"/>
      <c r="N1405" s="89">
        <f t="shared" si="275"/>
        <v>0</v>
      </c>
      <c r="O1405" s="89">
        <f t="shared" si="275"/>
        <v>0</v>
      </c>
      <c r="P1405" s="275">
        <f t="shared" si="275"/>
        <v>0</v>
      </c>
      <c r="Q1405" s="448">
        <f t="shared" si="275"/>
        <v>0</v>
      </c>
      <c r="R1405" s="448">
        <f t="shared" si="275"/>
        <v>0</v>
      </c>
      <c r="S1405" s="444" t="e">
        <f t="shared" si="267"/>
        <v>#DIV/0!</v>
      </c>
    </row>
    <row r="1406" spans="1:19" ht="12.75" hidden="1">
      <c r="A1406" s="39" t="s">
        <v>279</v>
      </c>
      <c r="B1406" s="71" t="s">
        <v>202</v>
      </c>
      <c r="C1406" s="76" t="s">
        <v>196</v>
      </c>
      <c r="D1406" s="76" t="s">
        <v>253</v>
      </c>
      <c r="E1406" s="76" t="s">
        <v>69</v>
      </c>
      <c r="F1406" s="78" t="s">
        <v>209</v>
      </c>
      <c r="G1406" s="96"/>
      <c r="H1406" s="75"/>
      <c r="I1406" s="75"/>
      <c r="J1406" s="96"/>
      <c r="K1406" s="275">
        <f t="shared" si="274"/>
        <v>0</v>
      </c>
      <c r="L1406" s="315"/>
      <c r="M1406" s="82"/>
      <c r="N1406" s="89">
        <f t="shared" si="275"/>
        <v>0</v>
      </c>
      <c r="O1406" s="89">
        <f t="shared" si="275"/>
        <v>0</v>
      </c>
      <c r="P1406" s="275">
        <f t="shared" si="275"/>
        <v>0</v>
      </c>
      <c r="Q1406" s="448">
        <f t="shared" si="275"/>
        <v>0</v>
      </c>
      <c r="R1406" s="448">
        <f t="shared" si="275"/>
        <v>0</v>
      </c>
      <c r="S1406" s="444" t="e">
        <f t="shared" si="267"/>
        <v>#DIV/0!</v>
      </c>
    </row>
    <row r="1407" spans="1:19" ht="12.75" hidden="1">
      <c r="A1407" s="45" t="s">
        <v>400</v>
      </c>
      <c r="B1407" s="71" t="s">
        <v>202</v>
      </c>
      <c r="C1407" s="76" t="s">
        <v>196</v>
      </c>
      <c r="D1407" s="76" t="s">
        <v>253</v>
      </c>
      <c r="E1407" s="76" t="s">
        <v>69</v>
      </c>
      <c r="F1407" s="78" t="s">
        <v>209</v>
      </c>
      <c r="G1407" s="96"/>
      <c r="H1407" s="75"/>
      <c r="I1407" s="75"/>
      <c r="J1407" s="96"/>
      <c r="K1407" s="275">
        <f t="shared" si="274"/>
        <v>0</v>
      </c>
      <c r="L1407" s="315"/>
      <c r="M1407" s="82"/>
      <c r="N1407" s="89">
        <f t="shared" si="275"/>
        <v>0</v>
      </c>
      <c r="O1407" s="89">
        <f t="shared" si="275"/>
        <v>0</v>
      </c>
      <c r="P1407" s="275">
        <f t="shared" si="275"/>
        <v>0</v>
      </c>
      <c r="Q1407" s="448">
        <f t="shared" si="275"/>
        <v>0</v>
      </c>
      <c r="R1407" s="448">
        <f t="shared" si="275"/>
        <v>0</v>
      </c>
      <c r="S1407" s="444" t="e">
        <f t="shared" si="267"/>
        <v>#DIV/0!</v>
      </c>
    </row>
    <row r="1408" spans="1:19" ht="12.75" hidden="1">
      <c r="A1408" s="45" t="s">
        <v>401</v>
      </c>
      <c r="B1408" s="71" t="s">
        <v>202</v>
      </c>
      <c r="C1408" s="76" t="s">
        <v>196</v>
      </c>
      <c r="D1408" s="76" t="s">
        <v>253</v>
      </c>
      <c r="E1408" s="76" t="s">
        <v>69</v>
      </c>
      <c r="F1408" s="78" t="s">
        <v>209</v>
      </c>
      <c r="G1408" s="96"/>
      <c r="H1408" s="75"/>
      <c r="I1408" s="75"/>
      <c r="J1408" s="96"/>
      <c r="K1408" s="275">
        <f t="shared" si="274"/>
        <v>0</v>
      </c>
      <c r="L1408" s="315"/>
      <c r="M1408" s="82"/>
      <c r="N1408" s="89">
        <f t="shared" si="275"/>
        <v>0</v>
      </c>
      <c r="O1408" s="89">
        <f t="shared" si="275"/>
        <v>0</v>
      </c>
      <c r="P1408" s="275">
        <f t="shared" si="275"/>
        <v>0</v>
      </c>
      <c r="Q1408" s="448">
        <f t="shared" si="275"/>
        <v>0</v>
      </c>
      <c r="R1408" s="448">
        <f t="shared" si="275"/>
        <v>0</v>
      </c>
      <c r="S1408" s="444" t="e">
        <f t="shared" si="267"/>
        <v>#DIV/0!</v>
      </c>
    </row>
    <row r="1409" spans="1:19" ht="12.75" hidden="1">
      <c r="A1409" s="39" t="s">
        <v>227</v>
      </c>
      <c r="B1409" s="71" t="s">
        <v>202</v>
      </c>
      <c r="C1409" s="76" t="s">
        <v>196</v>
      </c>
      <c r="D1409" s="76" t="s">
        <v>253</v>
      </c>
      <c r="E1409" s="76" t="s">
        <v>69</v>
      </c>
      <c r="F1409" s="78" t="s">
        <v>209</v>
      </c>
      <c r="G1409" s="96"/>
      <c r="H1409" s="75"/>
      <c r="I1409" s="75"/>
      <c r="J1409" s="96"/>
      <c r="K1409" s="275">
        <f t="shared" si="274"/>
        <v>0</v>
      </c>
      <c r="L1409" s="315"/>
      <c r="M1409" s="82"/>
      <c r="N1409" s="89">
        <f t="shared" si="275"/>
        <v>0</v>
      </c>
      <c r="O1409" s="89">
        <f t="shared" si="275"/>
        <v>0</v>
      </c>
      <c r="P1409" s="275">
        <f t="shared" si="275"/>
        <v>0</v>
      </c>
      <c r="Q1409" s="448">
        <f t="shared" si="275"/>
        <v>0</v>
      </c>
      <c r="R1409" s="448">
        <f t="shared" si="275"/>
        <v>0</v>
      </c>
      <c r="S1409" s="444" t="e">
        <f t="shared" si="267"/>
        <v>#DIV/0!</v>
      </c>
    </row>
    <row r="1410" spans="1:19" ht="12.75" hidden="1">
      <c r="A1410" s="46" t="s">
        <v>228</v>
      </c>
      <c r="B1410" s="71" t="s">
        <v>202</v>
      </c>
      <c r="C1410" s="76" t="s">
        <v>196</v>
      </c>
      <c r="D1410" s="76" t="s">
        <v>253</v>
      </c>
      <c r="E1410" s="76" t="s">
        <v>69</v>
      </c>
      <c r="F1410" s="78" t="s">
        <v>209</v>
      </c>
      <c r="G1410" s="96">
        <f>G1411+G1412+G1413</f>
        <v>0</v>
      </c>
      <c r="H1410" s="75">
        <f>H1411+H1412+H1413</f>
        <v>0</v>
      </c>
      <c r="I1410" s="75">
        <f>I1411+I1412+I1413</f>
        <v>0</v>
      </c>
      <c r="J1410" s="96">
        <f>J1411+J1412+J1413</f>
        <v>0</v>
      </c>
      <c r="K1410" s="275">
        <f t="shared" si="274"/>
        <v>0</v>
      </c>
      <c r="L1410" s="315"/>
      <c r="M1410" s="82"/>
      <c r="N1410" s="89">
        <f t="shared" si="275"/>
        <v>0</v>
      </c>
      <c r="O1410" s="89">
        <f t="shared" si="275"/>
        <v>0</v>
      </c>
      <c r="P1410" s="275">
        <f t="shared" si="275"/>
        <v>0</v>
      </c>
      <c r="Q1410" s="448">
        <f t="shared" si="275"/>
        <v>0</v>
      </c>
      <c r="R1410" s="448">
        <f t="shared" si="275"/>
        <v>0</v>
      </c>
      <c r="S1410" s="444" t="e">
        <f t="shared" si="267"/>
        <v>#DIV/0!</v>
      </c>
    </row>
    <row r="1411" spans="1:19" ht="12.75" hidden="1">
      <c r="A1411" s="39" t="s">
        <v>229</v>
      </c>
      <c r="B1411" s="71" t="s">
        <v>202</v>
      </c>
      <c r="C1411" s="76" t="s">
        <v>196</v>
      </c>
      <c r="D1411" s="76" t="s">
        <v>253</v>
      </c>
      <c r="E1411" s="76" t="s">
        <v>69</v>
      </c>
      <c r="F1411" s="78" t="s">
        <v>209</v>
      </c>
      <c r="G1411" s="96"/>
      <c r="H1411" s="75"/>
      <c r="I1411" s="75"/>
      <c r="J1411" s="96"/>
      <c r="K1411" s="275">
        <f t="shared" si="274"/>
        <v>0</v>
      </c>
      <c r="L1411" s="315"/>
      <c r="M1411" s="82"/>
      <c r="N1411" s="89">
        <f t="shared" si="275"/>
        <v>0</v>
      </c>
      <c r="O1411" s="89">
        <f t="shared" si="275"/>
        <v>0</v>
      </c>
      <c r="P1411" s="275">
        <f t="shared" si="275"/>
        <v>0</v>
      </c>
      <c r="Q1411" s="448">
        <f t="shared" si="275"/>
        <v>0</v>
      </c>
      <c r="R1411" s="448">
        <f t="shared" si="275"/>
        <v>0</v>
      </c>
      <c r="S1411" s="444" t="e">
        <f t="shared" si="267"/>
        <v>#DIV/0!</v>
      </c>
    </row>
    <row r="1412" spans="1:19" ht="11.25" customHeight="1" hidden="1">
      <c r="A1412" s="45" t="s">
        <v>67</v>
      </c>
      <c r="B1412" s="71" t="s">
        <v>202</v>
      </c>
      <c r="C1412" s="76" t="s">
        <v>196</v>
      </c>
      <c r="D1412" s="76" t="s">
        <v>253</v>
      </c>
      <c r="E1412" s="76" t="s">
        <v>69</v>
      </c>
      <c r="F1412" s="78" t="s">
        <v>209</v>
      </c>
      <c r="G1412" s="96"/>
      <c r="H1412" s="75"/>
      <c r="I1412" s="75"/>
      <c r="J1412" s="96"/>
      <c r="K1412" s="275">
        <f t="shared" si="274"/>
        <v>0</v>
      </c>
      <c r="L1412" s="315"/>
      <c r="M1412" s="82"/>
      <c r="N1412" s="89">
        <f t="shared" si="275"/>
        <v>0</v>
      </c>
      <c r="O1412" s="89">
        <f t="shared" si="275"/>
        <v>0</v>
      </c>
      <c r="P1412" s="275">
        <f t="shared" si="275"/>
        <v>0</v>
      </c>
      <c r="Q1412" s="448">
        <f t="shared" si="275"/>
        <v>0</v>
      </c>
      <c r="R1412" s="448">
        <f t="shared" si="275"/>
        <v>0</v>
      </c>
      <c r="S1412" s="444" t="e">
        <f t="shared" si="267"/>
        <v>#DIV/0!</v>
      </c>
    </row>
    <row r="1413" spans="1:19" ht="12.75" hidden="1">
      <c r="A1413" s="135" t="s">
        <v>230</v>
      </c>
      <c r="B1413" s="90" t="s">
        <v>202</v>
      </c>
      <c r="C1413" s="91" t="s">
        <v>196</v>
      </c>
      <c r="D1413" s="91" t="s">
        <v>253</v>
      </c>
      <c r="E1413" s="91" t="s">
        <v>69</v>
      </c>
      <c r="F1413" s="93" t="s">
        <v>209</v>
      </c>
      <c r="G1413" s="203"/>
      <c r="H1413" s="75"/>
      <c r="I1413" s="75"/>
      <c r="J1413" s="203"/>
      <c r="K1413" s="275">
        <f t="shared" si="274"/>
        <v>0</v>
      </c>
      <c r="L1413" s="315"/>
      <c r="M1413" s="82"/>
      <c r="N1413" s="89">
        <f t="shared" si="275"/>
        <v>0</v>
      </c>
      <c r="O1413" s="89">
        <f t="shared" si="275"/>
        <v>0</v>
      </c>
      <c r="P1413" s="275">
        <f t="shared" si="275"/>
        <v>0</v>
      </c>
      <c r="Q1413" s="448">
        <f t="shared" si="275"/>
        <v>0</v>
      </c>
      <c r="R1413" s="448">
        <f t="shared" si="275"/>
        <v>0</v>
      </c>
      <c r="S1413" s="444" t="e">
        <f t="shared" si="267"/>
        <v>#DIV/0!</v>
      </c>
    </row>
    <row r="1414" spans="1:19" ht="12.75" hidden="1">
      <c r="A1414" s="181" t="s">
        <v>108</v>
      </c>
      <c r="B1414" s="141" t="s">
        <v>202</v>
      </c>
      <c r="C1414" s="76" t="s">
        <v>196</v>
      </c>
      <c r="D1414" s="76" t="s">
        <v>253</v>
      </c>
      <c r="E1414" s="76" t="s">
        <v>69</v>
      </c>
      <c r="F1414" s="78" t="s">
        <v>105</v>
      </c>
      <c r="G1414" s="89" t="e">
        <f>#REF!+#REF!</f>
        <v>#REF!</v>
      </c>
      <c r="H1414" s="82" t="e">
        <f>#REF!+#REF!</f>
        <v>#REF!</v>
      </c>
      <c r="I1414" s="82" t="e">
        <f>#REF!+#REF!</f>
        <v>#REF!</v>
      </c>
      <c r="J1414" s="89">
        <v>77.7</v>
      </c>
      <c r="K1414" s="275" t="e">
        <f t="shared" si="274"/>
        <v>#REF!</v>
      </c>
      <c r="L1414" s="315"/>
      <c r="M1414" s="82"/>
      <c r="N1414" s="89" t="e">
        <f t="shared" si="275"/>
        <v>#REF!</v>
      </c>
      <c r="O1414" s="89" t="e">
        <f t="shared" si="275"/>
        <v>#REF!</v>
      </c>
      <c r="P1414" s="275" t="e">
        <f t="shared" si="275"/>
        <v>#REF!</v>
      </c>
      <c r="Q1414" s="448" t="e">
        <f t="shared" si="275"/>
        <v>#REF!</v>
      </c>
      <c r="R1414" s="448" t="e">
        <f t="shared" si="275"/>
        <v>#REF!</v>
      </c>
      <c r="S1414" s="444" t="e">
        <f t="shared" si="267"/>
        <v>#REF!</v>
      </c>
    </row>
    <row r="1415" spans="1:19" ht="15.75" customHeight="1">
      <c r="A1415" s="181" t="s">
        <v>109</v>
      </c>
      <c r="B1415" s="71" t="s">
        <v>202</v>
      </c>
      <c r="C1415" s="76" t="s">
        <v>196</v>
      </c>
      <c r="D1415" s="76" t="s">
        <v>253</v>
      </c>
      <c r="E1415" s="76" t="s">
        <v>69</v>
      </c>
      <c r="F1415" s="78" t="s">
        <v>106</v>
      </c>
      <c r="G1415" s="89">
        <v>98.4</v>
      </c>
      <c r="H1415" s="82" t="e">
        <f>#REF!+#REF!+H1420+H1421+H1422</f>
        <v>#REF!</v>
      </c>
      <c r="I1415" s="82" t="e">
        <f>#REF!+#REF!+I1420+I1421+I1422</f>
        <v>#REF!</v>
      </c>
      <c r="J1415" s="89">
        <v>6.7</v>
      </c>
      <c r="K1415" s="275">
        <v>105.1</v>
      </c>
      <c r="L1415" s="315"/>
      <c r="M1415" s="82"/>
      <c r="N1415" s="89">
        <f t="shared" si="275"/>
        <v>105.1</v>
      </c>
      <c r="O1415" s="89"/>
      <c r="P1415" s="275">
        <v>1.4</v>
      </c>
      <c r="Q1415" s="448">
        <f t="shared" si="275"/>
        <v>106.5</v>
      </c>
      <c r="R1415" s="448">
        <v>105.1</v>
      </c>
      <c r="S1415" s="444">
        <f t="shared" si="267"/>
        <v>98.68544600938966</v>
      </c>
    </row>
    <row r="1416" spans="1:19" ht="0.75" customHeight="1" thickBot="1">
      <c r="A1416" s="39"/>
      <c r="B1416" s="71"/>
      <c r="C1416" s="76"/>
      <c r="D1416" s="76"/>
      <c r="E1416" s="76"/>
      <c r="F1416" s="78" t="s">
        <v>238</v>
      </c>
      <c r="G1416" s="95"/>
      <c r="H1416" s="83"/>
      <c r="I1416" s="83"/>
      <c r="J1416" s="95"/>
      <c r="K1416" s="306"/>
      <c r="L1416" s="320"/>
      <c r="M1416" s="83"/>
      <c r="N1416" s="95"/>
      <c r="O1416" s="95"/>
      <c r="P1416" s="306"/>
      <c r="Q1416" s="448"/>
      <c r="R1416" s="448"/>
      <c r="S1416" s="465" t="e">
        <f t="shared" si="267"/>
        <v>#DIV/0!</v>
      </c>
    </row>
    <row r="1417" spans="1:19" ht="16.5" customHeight="1">
      <c r="A1417" s="65" t="s">
        <v>291</v>
      </c>
      <c r="B1417" s="66" t="s">
        <v>201</v>
      </c>
      <c r="C1417" s="67" t="s">
        <v>196</v>
      </c>
      <c r="D1417" s="67" t="s">
        <v>253</v>
      </c>
      <c r="E1417" s="67" t="s">
        <v>292</v>
      </c>
      <c r="F1417" s="69"/>
      <c r="G1417" s="414">
        <f aca="true" t="shared" si="276" ref="G1417:N1417">G1418+G1420+G1422+G1428+G1432</f>
        <v>1508.5</v>
      </c>
      <c r="H1417" s="414" t="e">
        <f t="shared" si="276"/>
        <v>#REF!</v>
      </c>
      <c r="I1417" s="414" t="e">
        <f t="shared" si="276"/>
        <v>#REF!</v>
      </c>
      <c r="J1417" s="414">
        <f t="shared" si="276"/>
        <v>0</v>
      </c>
      <c r="K1417" s="415">
        <f t="shared" si="276"/>
        <v>1508.5</v>
      </c>
      <c r="L1417" s="415">
        <f t="shared" si="276"/>
        <v>-186</v>
      </c>
      <c r="M1417" s="415">
        <f t="shared" si="276"/>
        <v>366</v>
      </c>
      <c r="N1417" s="415">
        <f t="shared" si="276"/>
        <v>1688.5</v>
      </c>
      <c r="O1417" s="415">
        <f>O1418+O1420+O1422+O1428+O1432</f>
        <v>0</v>
      </c>
      <c r="P1417" s="415">
        <f>P1418+P1420+P1422+P1428+P1432</f>
        <v>0</v>
      </c>
      <c r="Q1417" s="449">
        <f>Q1418+Q1420+Q1422+Q1428+Q1432</f>
        <v>1688.5</v>
      </c>
      <c r="R1417" s="449">
        <f>R1418+R1420+R1422+R1428+R1432</f>
        <v>1471.96144</v>
      </c>
      <c r="S1417" s="465">
        <f t="shared" si="267"/>
        <v>87.1756849274504</v>
      </c>
    </row>
    <row r="1418" spans="1:19" ht="44.25" customHeight="1">
      <c r="A1418" s="109" t="s">
        <v>177</v>
      </c>
      <c r="B1418" s="99" t="s">
        <v>340</v>
      </c>
      <c r="C1418" s="112" t="s">
        <v>196</v>
      </c>
      <c r="D1418" s="112" t="s">
        <v>253</v>
      </c>
      <c r="E1418" s="112" t="s">
        <v>70</v>
      </c>
      <c r="F1418" s="104"/>
      <c r="G1418" s="88">
        <f aca="true" t="shared" si="277" ref="G1418:R1418">G1419</f>
        <v>45</v>
      </c>
      <c r="H1418" s="88">
        <f t="shared" si="277"/>
        <v>0</v>
      </c>
      <c r="I1418" s="88">
        <f t="shared" si="277"/>
        <v>0</v>
      </c>
      <c r="J1418" s="88">
        <f t="shared" si="277"/>
        <v>0</v>
      </c>
      <c r="K1418" s="290">
        <f t="shared" si="277"/>
        <v>45</v>
      </c>
      <c r="L1418" s="290">
        <f t="shared" si="277"/>
        <v>0</v>
      </c>
      <c r="M1418" s="290">
        <f t="shared" si="277"/>
        <v>0</v>
      </c>
      <c r="N1418" s="290">
        <f t="shared" si="277"/>
        <v>45</v>
      </c>
      <c r="O1418" s="290">
        <f t="shared" si="277"/>
        <v>0</v>
      </c>
      <c r="P1418" s="290">
        <f t="shared" si="277"/>
        <v>0</v>
      </c>
      <c r="Q1418" s="449">
        <f t="shared" si="277"/>
        <v>45</v>
      </c>
      <c r="R1418" s="449">
        <f t="shared" si="277"/>
        <v>19</v>
      </c>
      <c r="S1418" s="465">
        <f t="shared" si="267"/>
        <v>42.22222222222222</v>
      </c>
    </row>
    <row r="1419" spans="1:19" ht="15.75" customHeight="1">
      <c r="A1419" s="192" t="s">
        <v>120</v>
      </c>
      <c r="B1419" s="161" t="s">
        <v>340</v>
      </c>
      <c r="C1419" s="100" t="s">
        <v>196</v>
      </c>
      <c r="D1419" s="100" t="s">
        <v>253</v>
      </c>
      <c r="E1419" s="100" t="s">
        <v>70</v>
      </c>
      <c r="F1419" s="101" t="s">
        <v>112</v>
      </c>
      <c r="G1419" s="102">
        <v>45</v>
      </c>
      <c r="H1419" s="137"/>
      <c r="I1419" s="137"/>
      <c r="J1419" s="102"/>
      <c r="K1419" s="280">
        <f>G1419+J1419</f>
        <v>45</v>
      </c>
      <c r="L1419" s="331"/>
      <c r="M1419" s="137"/>
      <c r="N1419" s="102">
        <f>K1419+M1419</f>
        <v>45</v>
      </c>
      <c r="O1419" s="102"/>
      <c r="P1419" s="280"/>
      <c r="Q1419" s="448">
        <f>N1419+P1419</f>
        <v>45</v>
      </c>
      <c r="R1419" s="448">
        <v>19</v>
      </c>
      <c r="S1419" s="444">
        <f t="shared" si="267"/>
        <v>42.22222222222222</v>
      </c>
    </row>
    <row r="1420" spans="1:19" ht="31.5" customHeight="1">
      <c r="A1420" s="160" t="s">
        <v>185</v>
      </c>
      <c r="B1420" s="71" t="s">
        <v>202</v>
      </c>
      <c r="C1420" s="72" t="s">
        <v>196</v>
      </c>
      <c r="D1420" s="72" t="s">
        <v>253</v>
      </c>
      <c r="E1420" s="72" t="s">
        <v>71</v>
      </c>
      <c r="F1420" s="78"/>
      <c r="G1420" s="89">
        <f aca="true" t="shared" si="278" ref="G1420:R1420">G1421</f>
        <v>30</v>
      </c>
      <c r="H1420" s="89" t="e">
        <f t="shared" si="278"/>
        <v>#REF!</v>
      </c>
      <c r="I1420" s="89" t="e">
        <f t="shared" si="278"/>
        <v>#REF!</v>
      </c>
      <c r="J1420" s="89">
        <f t="shared" si="278"/>
        <v>0</v>
      </c>
      <c r="K1420" s="275">
        <f t="shared" si="278"/>
        <v>30</v>
      </c>
      <c r="L1420" s="275">
        <f t="shared" si="278"/>
        <v>0</v>
      </c>
      <c r="M1420" s="275">
        <f t="shared" si="278"/>
        <v>0</v>
      </c>
      <c r="N1420" s="275">
        <f t="shared" si="278"/>
        <v>30</v>
      </c>
      <c r="O1420" s="275">
        <f t="shared" si="278"/>
        <v>0</v>
      </c>
      <c r="P1420" s="275">
        <f t="shared" si="278"/>
        <v>0</v>
      </c>
      <c r="Q1420" s="449">
        <f t="shared" si="278"/>
        <v>30</v>
      </c>
      <c r="R1420" s="449">
        <f t="shared" si="278"/>
        <v>29.96189</v>
      </c>
      <c r="S1420" s="465">
        <f t="shared" si="267"/>
        <v>99.87296666666666</v>
      </c>
    </row>
    <row r="1421" spans="1:19" ht="15.75" customHeight="1">
      <c r="A1421" s="181" t="s">
        <v>109</v>
      </c>
      <c r="B1421" s="141" t="s">
        <v>202</v>
      </c>
      <c r="C1421" s="72" t="s">
        <v>196</v>
      </c>
      <c r="D1421" s="72" t="s">
        <v>253</v>
      </c>
      <c r="E1421" s="76" t="s">
        <v>71</v>
      </c>
      <c r="F1421" s="78" t="s">
        <v>106</v>
      </c>
      <c r="G1421" s="89">
        <v>30</v>
      </c>
      <c r="H1421" s="82" t="e">
        <f>#REF!+30</f>
        <v>#REF!</v>
      </c>
      <c r="I1421" s="82" t="e">
        <f>#REF!</f>
        <v>#REF!</v>
      </c>
      <c r="J1421" s="89"/>
      <c r="K1421" s="275">
        <f>G1421+J1421</f>
        <v>30</v>
      </c>
      <c r="L1421" s="315"/>
      <c r="M1421" s="82"/>
      <c r="N1421" s="89">
        <f>K1421+L1421+M1421</f>
        <v>30</v>
      </c>
      <c r="O1421" s="89"/>
      <c r="P1421" s="275"/>
      <c r="Q1421" s="448">
        <f>N1421+O1421+P1421</f>
        <v>30</v>
      </c>
      <c r="R1421" s="448">
        <v>29.96189</v>
      </c>
      <c r="S1421" s="444">
        <f aca="true" t="shared" si="279" ref="S1421:S1484">R1421/Q1421*100</f>
        <v>99.87296666666666</v>
      </c>
    </row>
    <row r="1422" spans="1:19" ht="29.25" customHeight="1">
      <c r="A1422" s="108" t="s">
        <v>178</v>
      </c>
      <c r="B1422" s="71" t="s">
        <v>201</v>
      </c>
      <c r="C1422" s="72" t="s">
        <v>196</v>
      </c>
      <c r="D1422" s="72" t="s">
        <v>253</v>
      </c>
      <c r="E1422" s="72" t="s">
        <v>72</v>
      </c>
      <c r="F1422" s="74"/>
      <c r="G1422" s="96">
        <f aca="true" t="shared" si="280" ref="G1422:N1422">G1423+G1424</f>
        <v>111.5</v>
      </c>
      <c r="H1422" s="96">
        <f t="shared" si="280"/>
        <v>0</v>
      </c>
      <c r="I1422" s="96">
        <f t="shared" si="280"/>
        <v>0</v>
      </c>
      <c r="J1422" s="96">
        <f t="shared" si="280"/>
        <v>0</v>
      </c>
      <c r="K1422" s="287">
        <f t="shared" si="280"/>
        <v>111.5</v>
      </c>
      <c r="L1422" s="287">
        <f t="shared" si="280"/>
        <v>0</v>
      </c>
      <c r="M1422" s="287">
        <f t="shared" si="280"/>
        <v>0</v>
      </c>
      <c r="N1422" s="287">
        <f t="shared" si="280"/>
        <v>111.5</v>
      </c>
      <c r="O1422" s="287">
        <f>O1423+O1424</f>
        <v>0</v>
      </c>
      <c r="P1422" s="287">
        <f>P1423+P1424</f>
        <v>0</v>
      </c>
      <c r="Q1422" s="449">
        <f>Q1423+Q1424</f>
        <v>111.5</v>
      </c>
      <c r="R1422" s="449">
        <f>R1423+R1424</f>
        <v>108.49955</v>
      </c>
      <c r="S1422" s="465">
        <f t="shared" si="279"/>
        <v>97.3090134529148</v>
      </c>
    </row>
    <row r="1423" spans="1:19" ht="15.75" customHeight="1">
      <c r="A1423" s="181" t="s">
        <v>120</v>
      </c>
      <c r="B1423" s="141" t="s">
        <v>299</v>
      </c>
      <c r="C1423" s="76" t="s">
        <v>196</v>
      </c>
      <c r="D1423" s="76" t="s">
        <v>253</v>
      </c>
      <c r="E1423" s="76" t="s">
        <v>72</v>
      </c>
      <c r="F1423" s="255" t="s">
        <v>112</v>
      </c>
      <c r="G1423" s="95">
        <v>100</v>
      </c>
      <c r="H1423" s="83">
        <v>0</v>
      </c>
      <c r="I1423" s="83">
        <v>0</v>
      </c>
      <c r="J1423" s="95"/>
      <c r="K1423" s="306">
        <f>G1423+J1423</f>
        <v>100</v>
      </c>
      <c r="L1423" s="320"/>
      <c r="M1423" s="83"/>
      <c r="N1423" s="95">
        <f>K1423+L1423+M1423</f>
        <v>100</v>
      </c>
      <c r="O1423" s="95"/>
      <c r="P1423" s="306"/>
      <c r="Q1423" s="448">
        <f>N1423+O1423+P1423</f>
        <v>100</v>
      </c>
      <c r="R1423" s="448">
        <v>99.99955</v>
      </c>
      <c r="S1423" s="444">
        <f t="shared" si="279"/>
        <v>99.99955</v>
      </c>
    </row>
    <row r="1424" spans="1:19" ht="15.75" customHeight="1">
      <c r="A1424" s="192" t="s">
        <v>120</v>
      </c>
      <c r="B1424" s="141" t="s">
        <v>340</v>
      </c>
      <c r="C1424" s="76" t="s">
        <v>196</v>
      </c>
      <c r="D1424" s="76" t="s">
        <v>253</v>
      </c>
      <c r="E1424" s="76" t="s">
        <v>72</v>
      </c>
      <c r="F1424" s="78" t="s">
        <v>112</v>
      </c>
      <c r="G1424" s="89">
        <f>G1426+G1427</f>
        <v>11.5</v>
      </c>
      <c r="H1424" s="82">
        <f>H1426+H1427</f>
        <v>0</v>
      </c>
      <c r="I1424" s="82">
        <f>I1426+I1427</f>
        <v>0</v>
      </c>
      <c r="J1424" s="89"/>
      <c r="K1424" s="275">
        <f>G1424+J1424</f>
        <v>11.5</v>
      </c>
      <c r="L1424" s="315"/>
      <c r="M1424" s="82"/>
      <c r="N1424" s="95">
        <f>K1424+L1424+M1424</f>
        <v>11.5</v>
      </c>
      <c r="O1424" s="95"/>
      <c r="P1424" s="306"/>
      <c r="Q1424" s="448">
        <f>N1424+O1424+P1424</f>
        <v>11.5</v>
      </c>
      <c r="R1424" s="448">
        <v>8.5</v>
      </c>
      <c r="S1424" s="444">
        <f t="shared" si="279"/>
        <v>73.91304347826086</v>
      </c>
    </row>
    <row r="1425" spans="1:19" ht="25.5" hidden="1">
      <c r="A1425" s="163" t="s">
        <v>73</v>
      </c>
      <c r="B1425" s="71" t="s">
        <v>340</v>
      </c>
      <c r="C1425" s="76" t="s">
        <v>196</v>
      </c>
      <c r="D1425" s="76" t="s">
        <v>253</v>
      </c>
      <c r="E1425" s="76" t="s">
        <v>357</v>
      </c>
      <c r="F1425" s="78" t="s">
        <v>209</v>
      </c>
      <c r="G1425" s="95">
        <v>0</v>
      </c>
      <c r="H1425" s="83">
        <v>0</v>
      </c>
      <c r="I1425" s="83">
        <v>0</v>
      </c>
      <c r="J1425" s="95">
        <v>0</v>
      </c>
      <c r="K1425" s="306">
        <v>0</v>
      </c>
      <c r="L1425" s="320"/>
      <c r="M1425" s="83"/>
      <c r="N1425" s="95"/>
      <c r="O1425" s="95"/>
      <c r="P1425" s="306"/>
      <c r="Q1425" s="448"/>
      <c r="R1425" s="448"/>
      <c r="S1425" s="465" t="e">
        <f t="shared" si="279"/>
        <v>#DIV/0!</v>
      </c>
    </row>
    <row r="1426" spans="1:19" ht="27" customHeight="1" hidden="1">
      <c r="A1426" s="163"/>
      <c r="B1426" s="71"/>
      <c r="C1426" s="76"/>
      <c r="D1426" s="76"/>
      <c r="E1426" s="76"/>
      <c r="F1426" s="78" t="s">
        <v>237</v>
      </c>
      <c r="G1426" s="95">
        <v>10</v>
      </c>
      <c r="H1426" s="83"/>
      <c r="I1426" s="83"/>
      <c r="J1426" s="95">
        <v>10</v>
      </c>
      <c r="K1426" s="306">
        <v>10</v>
      </c>
      <c r="L1426" s="320"/>
      <c r="M1426" s="83"/>
      <c r="N1426" s="95"/>
      <c r="O1426" s="95"/>
      <c r="P1426" s="306"/>
      <c r="Q1426" s="448"/>
      <c r="R1426" s="448"/>
      <c r="S1426" s="465" t="e">
        <f t="shared" si="279"/>
        <v>#DIV/0!</v>
      </c>
    </row>
    <row r="1427" spans="1:19" ht="12.75" hidden="1">
      <c r="A1427" s="163"/>
      <c r="B1427" s="71"/>
      <c r="C1427" s="76"/>
      <c r="D1427" s="76"/>
      <c r="E1427" s="76"/>
      <c r="F1427" s="78" t="s">
        <v>239</v>
      </c>
      <c r="G1427" s="95">
        <v>1.5</v>
      </c>
      <c r="H1427" s="83"/>
      <c r="I1427" s="83"/>
      <c r="J1427" s="95">
        <v>1.5</v>
      </c>
      <c r="K1427" s="306">
        <v>1.5</v>
      </c>
      <c r="L1427" s="320"/>
      <c r="M1427" s="83"/>
      <c r="N1427" s="95"/>
      <c r="O1427" s="95"/>
      <c r="P1427" s="306"/>
      <c r="Q1427" s="448"/>
      <c r="R1427" s="448"/>
      <c r="S1427" s="465" t="e">
        <f t="shared" si="279"/>
        <v>#DIV/0!</v>
      </c>
    </row>
    <row r="1428" spans="1:19" ht="38.25">
      <c r="A1428" s="46" t="s">
        <v>179</v>
      </c>
      <c r="B1428" s="71" t="s">
        <v>201</v>
      </c>
      <c r="C1428" s="72" t="s">
        <v>196</v>
      </c>
      <c r="D1428" s="72" t="s">
        <v>253</v>
      </c>
      <c r="E1428" s="72" t="s">
        <v>74</v>
      </c>
      <c r="F1428" s="74"/>
      <c r="G1428" s="249">
        <f aca="true" t="shared" si="281" ref="G1428:N1428">G1429+G1430</f>
        <v>1212</v>
      </c>
      <c r="H1428" s="249" t="e">
        <f t="shared" si="281"/>
        <v>#REF!</v>
      </c>
      <c r="I1428" s="249" t="e">
        <f t="shared" si="281"/>
        <v>#REF!</v>
      </c>
      <c r="J1428" s="249">
        <f t="shared" si="281"/>
        <v>0</v>
      </c>
      <c r="K1428" s="307">
        <f t="shared" si="281"/>
        <v>1212</v>
      </c>
      <c r="L1428" s="307">
        <f t="shared" si="281"/>
        <v>-186</v>
      </c>
      <c r="M1428" s="307">
        <f t="shared" si="281"/>
        <v>366</v>
      </c>
      <c r="N1428" s="307">
        <f t="shared" si="281"/>
        <v>1392</v>
      </c>
      <c r="O1428" s="307">
        <f>O1429+O1430</f>
        <v>0</v>
      </c>
      <c r="P1428" s="307">
        <f>P1429+P1430</f>
        <v>0</v>
      </c>
      <c r="Q1428" s="449">
        <f>Q1429+Q1430</f>
        <v>1392</v>
      </c>
      <c r="R1428" s="449">
        <f>R1429+R1430</f>
        <v>1226</v>
      </c>
      <c r="S1428" s="465">
        <f t="shared" si="279"/>
        <v>88.07471264367817</v>
      </c>
    </row>
    <row r="1429" spans="1:19" ht="15.75" customHeight="1">
      <c r="A1429" s="193" t="s">
        <v>124</v>
      </c>
      <c r="B1429" s="141" t="s">
        <v>299</v>
      </c>
      <c r="C1429" s="76" t="s">
        <v>196</v>
      </c>
      <c r="D1429" s="76" t="s">
        <v>253</v>
      </c>
      <c r="E1429" s="76" t="s">
        <v>74</v>
      </c>
      <c r="F1429" s="78" t="s">
        <v>238</v>
      </c>
      <c r="G1429" s="95">
        <v>1032</v>
      </c>
      <c r="H1429" s="83">
        <v>1332</v>
      </c>
      <c r="I1429" s="83"/>
      <c r="J1429" s="95"/>
      <c r="K1429" s="306">
        <v>1032</v>
      </c>
      <c r="L1429" s="320">
        <v>-186</v>
      </c>
      <c r="M1429" s="83">
        <f>180+186</f>
        <v>366</v>
      </c>
      <c r="N1429" s="95">
        <f>K1429+L1429+M1429</f>
        <v>1212</v>
      </c>
      <c r="O1429" s="95"/>
      <c r="P1429" s="306"/>
      <c r="Q1429" s="448">
        <f>N1429+O1429+P1429</f>
        <v>1212</v>
      </c>
      <c r="R1429" s="448">
        <v>1190</v>
      </c>
      <c r="S1429" s="444">
        <f t="shared" si="279"/>
        <v>98.18481848184818</v>
      </c>
    </row>
    <row r="1430" spans="1:19" ht="15.75" customHeight="1">
      <c r="A1430" s="193" t="s">
        <v>124</v>
      </c>
      <c r="B1430" s="141" t="s">
        <v>340</v>
      </c>
      <c r="C1430" s="76" t="s">
        <v>196</v>
      </c>
      <c r="D1430" s="76" t="s">
        <v>253</v>
      </c>
      <c r="E1430" s="76" t="s">
        <v>74</v>
      </c>
      <c r="F1430" s="78" t="s">
        <v>238</v>
      </c>
      <c r="G1430" s="95">
        <v>180</v>
      </c>
      <c r="H1430" s="83" t="e">
        <f>#REF!</f>
        <v>#REF!</v>
      </c>
      <c r="I1430" s="83" t="e">
        <f>#REF!</f>
        <v>#REF!</v>
      </c>
      <c r="J1430" s="95"/>
      <c r="K1430" s="306">
        <v>180</v>
      </c>
      <c r="L1430" s="320"/>
      <c r="M1430" s="83"/>
      <c r="N1430" s="95">
        <f>K1430+L1430+M1430</f>
        <v>180</v>
      </c>
      <c r="O1430" s="95"/>
      <c r="P1430" s="306"/>
      <c r="Q1430" s="448">
        <f>N1430+O1430+P1430</f>
        <v>180</v>
      </c>
      <c r="R1430" s="448">
        <v>36</v>
      </c>
      <c r="S1430" s="444">
        <f t="shared" si="279"/>
        <v>20</v>
      </c>
    </row>
    <row r="1431" spans="1:19" ht="12.75" hidden="1">
      <c r="A1431" s="166" t="s">
        <v>126</v>
      </c>
      <c r="B1431" s="164"/>
      <c r="C1431" s="165" t="s">
        <v>196</v>
      </c>
      <c r="D1431" s="165" t="s">
        <v>253</v>
      </c>
      <c r="E1431" s="165" t="s">
        <v>74</v>
      </c>
      <c r="F1431" s="154" t="s">
        <v>238</v>
      </c>
      <c r="G1431" s="95"/>
      <c r="H1431" s="83"/>
      <c r="I1431" s="83"/>
      <c r="J1431" s="95"/>
      <c r="K1431" s="306"/>
      <c r="L1431" s="320"/>
      <c r="M1431" s="83"/>
      <c r="N1431" s="95"/>
      <c r="O1431" s="95"/>
      <c r="P1431" s="306"/>
      <c r="Q1431" s="448"/>
      <c r="R1431" s="448"/>
      <c r="S1431" s="465" t="e">
        <f t="shared" si="279"/>
        <v>#DIV/0!</v>
      </c>
    </row>
    <row r="1432" spans="1:19" ht="16.5" customHeight="1">
      <c r="A1432" s="39" t="s">
        <v>180</v>
      </c>
      <c r="B1432" s="71" t="s">
        <v>202</v>
      </c>
      <c r="C1432" s="72" t="s">
        <v>196</v>
      </c>
      <c r="D1432" s="72" t="s">
        <v>253</v>
      </c>
      <c r="E1432" s="72" t="s">
        <v>75</v>
      </c>
      <c r="F1432" s="74"/>
      <c r="G1432" s="96">
        <f aca="true" t="shared" si="282" ref="G1432:R1432">G1433</f>
        <v>110</v>
      </c>
      <c r="H1432" s="96">
        <f t="shared" si="282"/>
        <v>0</v>
      </c>
      <c r="I1432" s="96">
        <f t="shared" si="282"/>
        <v>0</v>
      </c>
      <c r="J1432" s="96">
        <f t="shared" si="282"/>
        <v>0</v>
      </c>
      <c r="K1432" s="287">
        <f t="shared" si="282"/>
        <v>110</v>
      </c>
      <c r="L1432" s="287">
        <f t="shared" si="282"/>
        <v>0</v>
      </c>
      <c r="M1432" s="287">
        <f t="shared" si="282"/>
        <v>0</v>
      </c>
      <c r="N1432" s="287">
        <f t="shared" si="282"/>
        <v>110</v>
      </c>
      <c r="O1432" s="287">
        <f t="shared" si="282"/>
        <v>0</v>
      </c>
      <c r="P1432" s="287">
        <f t="shared" si="282"/>
        <v>0</v>
      </c>
      <c r="Q1432" s="449">
        <f t="shared" si="282"/>
        <v>110</v>
      </c>
      <c r="R1432" s="449">
        <f t="shared" si="282"/>
        <v>88.5</v>
      </c>
      <c r="S1432" s="465">
        <f t="shared" si="279"/>
        <v>80.45454545454545</v>
      </c>
    </row>
    <row r="1433" spans="1:19" ht="15.75" customHeight="1" thickBot="1">
      <c r="A1433" s="181" t="s">
        <v>109</v>
      </c>
      <c r="B1433" s="141" t="s">
        <v>202</v>
      </c>
      <c r="C1433" s="76" t="s">
        <v>196</v>
      </c>
      <c r="D1433" s="76" t="s">
        <v>253</v>
      </c>
      <c r="E1433" s="76" t="s">
        <v>75</v>
      </c>
      <c r="F1433" s="78" t="s">
        <v>106</v>
      </c>
      <c r="G1433" s="89">
        <v>110</v>
      </c>
      <c r="H1433" s="82">
        <f>H1434+H1436+H1435+H1437</f>
        <v>0</v>
      </c>
      <c r="I1433" s="82">
        <f>I1434+I1436+I1435+I1437</f>
        <v>0</v>
      </c>
      <c r="J1433" s="89">
        <f>J1434+J1436+J1435+J1437</f>
        <v>0</v>
      </c>
      <c r="K1433" s="275">
        <f>G1433+J1433</f>
        <v>110</v>
      </c>
      <c r="L1433" s="315"/>
      <c r="M1433" s="82"/>
      <c r="N1433" s="89">
        <f>K1433+L1433+M1433</f>
        <v>110</v>
      </c>
      <c r="O1433" s="89"/>
      <c r="P1433" s="275"/>
      <c r="Q1433" s="448">
        <f>N1433+O1433+P1433</f>
        <v>110</v>
      </c>
      <c r="R1433" s="448">
        <v>88.5</v>
      </c>
      <c r="S1433" s="444">
        <f t="shared" si="279"/>
        <v>80.45454545454545</v>
      </c>
    </row>
    <row r="1434" spans="1:19" ht="14.25" customHeight="1" hidden="1">
      <c r="A1434" s="46" t="s">
        <v>435</v>
      </c>
      <c r="B1434" s="71" t="s">
        <v>202</v>
      </c>
      <c r="C1434" s="76" t="s">
        <v>196</v>
      </c>
      <c r="D1434" s="76" t="s">
        <v>253</v>
      </c>
      <c r="E1434" s="76" t="s">
        <v>75</v>
      </c>
      <c r="F1434" s="78" t="s">
        <v>209</v>
      </c>
      <c r="G1434" s="209"/>
      <c r="H1434" s="152"/>
      <c r="I1434" s="152"/>
      <c r="J1434" s="209"/>
      <c r="K1434" s="299"/>
      <c r="L1434" s="319"/>
      <c r="M1434" s="152"/>
      <c r="N1434" s="209"/>
      <c r="O1434" s="209"/>
      <c r="P1434" s="299"/>
      <c r="Q1434" s="448"/>
      <c r="R1434" s="448"/>
      <c r="S1434" s="465" t="e">
        <f t="shared" si="279"/>
        <v>#DIV/0!</v>
      </c>
    </row>
    <row r="1435" spans="1:19" ht="14.25" customHeight="1" hidden="1">
      <c r="A1435" s="46"/>
      <c r="B1435" s="71" t="s">
        <v>299</v>
      </c>
      <c r="C1435" s="76" t="s">
        <v>196</v>
      </c>
      <c r="D1435" s="76" t="s">
        <v>253</v>
      </c>
      <c r="E1435" s="76" t="s">
        <v>71</v>
      </c>
      <c r="F1435" s="78" t="s">
        <v>209</v>
      </c>
      <c r="G1435" s="209"/>
      <c r="H1435" s="152"/>
      <c r="I1435" s="152"/>
      <c r="J1435" s="209"/>
      <c r="K1435" s="299"/>
      <c r="L1435" s="319"/>
      <c r="M1435" s="152"/>
      <c r="N1435" s="209"/>
      <c r="O1435" s="209"/>
      <c r="P1435" s="299"/>
      <c r="Q1435" s="448"/>
      <c r="R1435" s="448"/>
      <c r="S1435" s="465" t="e">
        <f t="shared" si="279"/>
        <v>#DIV/0!</v>
      </c>
    </row>
    <row r="1436" spans="1:19" ht="14.25" customHeight="1" hidden="1">
      <c r="A1436" s="46"/>
      <c r="B1436" s="71" t="s">
        <v>340</v>
      </c>
      <c r="C1436" s="76" t="s">
        <v>196</v>
      </c>
      <c r="D1436" s="76" t="s">
        <v>253</v>
      </c>
      <c r="E1436" s="76" t="s">
        <v>72</v>
      </c>
      <c r="F1436" s="78" t="s">
        <v>209</v>
      </c>
      <c r="G1436" s="209"/>
      <c r="H1436" s="152"/>
      <c r="I1436" s="152"/>
      <c r="J1436" s="209"/>
      <c r="K1436" s="299"/>
      <c r="L1436" s="319"/>
      <c r="M1436" s="152"/>
      <c r="N1436" s="209"/>
      <c r="O1436" s="209"/>
      <c r="P1436" s="299"/>
      <c r="Q1436" s="448"/>
      <c r="R1436" s="448"/>
      <c r="S1436" s="465" t="e">
        <f t="shared" si="279"/>
        <v>#DIV/0!</v>
      </c>
    </row>
    <row r="1437" spans="1:19" ht="14.25" customHeight="1" hidden="1">
      <c r="A1437" s="46"/>
      <c r="B1437" s="71" t="s">
        <v>340</v>
      </c>
      <c r="C1437" s="76" t="s">
        <v>196</v>
      </c>
      <c r="D1437" s="76" t="s">
        <v>253</v>
      </c>
      <c r="E1437" s="76" t="s">
        <v>71</v>
      </c>
      <c r="F1437" s="78" t="s">
        <v>209</v>
      </c>
      <c r="G1437" s="209"/>
      <c r="H1437" s="152"/>
      <c r="I1437" s="152"/>
      <c r="J1437" s="209"/>
      <c r="K1437" s="299"/>
      <c r="L1437" s="319"/>
      <c r="M1437" s="152"/>
      <c r="N1437" s="209"/>
      <c r="O1437" s="209"/>
      <c r="P1437" s="299"/>
      <c r="Q1437" s="448"/>
      <c r="R1437" s="448"/>
      <c r="S1437" s="465" t="e">
        <f t="shared" si="279"/>
        <v>#DIV/0!</v>
      </c>
    </row>
    <row r="1438" spans="1:19" ht="14.25" customHeight="1" hidden="1">
      <c r="A1438" s="46" t="s">
        <v>76</v>
      </c>
      <c r="B1438" s="71"/>
      <c r="C1438" s="76" t="s">
        <v>196</v>
      </c>
      <c r="D1438" s="76" t="s">
        <v>253</v>
      </c>
      <c r="E1438" s="76" t="s">
        <v>292</v>
      </c>
      <c r="F1438" s="78" t="s">
        <v>201</v>
      </c>
      <c r="G1438" s="209">
        <f>G1439</f>
        <v>0</v>
      </c>
      <c r="H1438" s="152">
        <f>H1439</f>
        <v>0</v>
      </c>
      <c r="I1438" s="152">
        <f>I1439</f>
        <v>0</v>
      </c>
      <c r="J1438" s="209">
        <f>J1439</f>
        <v>0</v>
      </c>
      <c r="K1438" s="299">
        <f>K1439</f>
        <v>0</v>
      </c>
      <c r="L1438" s="319"/>
      <c r="M1438" s="152"/>
      <c r="N1438" s="209"/>
      <c r="O1438" s="209"/>
      <c r="P1438" s="299"/>
      <c r="Q1438" s="448"/>
      <c r="R1438" s="448"/>
      <c r="S1438" s="465" t="e">
        <f t="shared" si="279"/>
        <v>#DIV/0!</v>
      </c>
    </row>
    <row r="1439" spans="1:19" ht="14.25" customHeight="1" hidden="1">
      <c r="A1439" s="46" t="s">
        <v>208</v>
      </c>
      <c r="B1439" s="71"/>
      <c r="C1439" s="76" t="s">
        <v>196</v>
      </c>
      <c r="D1439" s="76" t="s">
        <v>253</v>
      </c>
      <c r="E1439" s="76" t="s">
        <v>292</v>
      </c>
      <c r="F1439" s="78" t="s">
        <v>209</v>
      </c>
      <c r="G1439" s="209">
        <f>G1440+G1448</f>
        <v>0</v>
      </c>
      <c r="H1439" s="152">
        <f>H1440+H1448</f>
        <v>0</v>
      </c>
      <c r="I1439" s="152">
        <f>I1440+I1448</f>
        <v>0</v>
      </c>
      <c r="J1439" s="209">
        <f>J1440+J1448</f>
        <v>0</v>
      </c>
      <c r="K1439" s="299">
        <f>K1440+K1448</f>
        <v>0</v>
      </c>
      <c r="L1439" s="319"/>
      <c r="M1439" s="152"/>
      <c r="N1439" s="209"/>
      <c r="O1439" s="209"/>
      <c r="P1439" s="299"/>
      <c r="Q1439" s="448"/>
      <c r="R1439" s="448"/>
      <c r="S1439" s="465" t="e">
        <f t="shared" si="279"/>
        <v>#DIV/0!</v>
      </c>
    </row>
    <row r="1440" spans="1:19" ht="14.25" customHeight="1" hidden="1">
      <c r="A1440" s="46" t="s">
        <v>210</v>
      </c>
      <c r="B1440" s="71"/>
      <c r="C1440" s="76" t="s">
        <v>196</v>
      </c>
      <c r="D1440" s="76" t="s">
        <v>253</v>
      </c>
      <c r="E1440" s="76" t="s">
        <v>70</v>
      </c>
      <c r="F1440" s="78" t="s">
        <v>209</v>
      </c>
      <c r="G1440" s="209">
        <f>G1441+G1446</f>
        <v>0</v>
      </c>
      <c r="H1440" s="152">
        <f>H1441+H1446</f>
        <v>0</v>
      </c>
      <c r="I1440" s="152">
        <f>I1441+I1446</f>
        <v>0</v>
      </c>
      <c r="J1440" s="209">
        <f>J1441+J1446</f>
        <v>0</v>
      </c>
      <c r="K1440" s="299">
        <f>K1441+K1446</f>
        <v>0</v>
      </c>
      <c r="L1440" s="319"/>
      <c r="M1440" s="152"/>
      <c r="N1440" s="209"/>
      <c r="O1440" s="209"/>
      <c r="P1440" s="299"/>
      <c r="Q1440" s="448"/>
      <c r="R1440" s="448"/>
      <c r="S1440" s="465" t="e">
        <f t="shared" si="279"/>
        <v>#DIV/0!</v>
      </c>
    </row>
    <row r="1441" spans="1:19" ht="14.25" customHeight="1" hidden="1">
      <c r="A1441" s="39" t="s">
        <v>307</v>
      </c>
      <c r="B1441" s="71"/>
      <c r="C1441" s="76" t="s">
        <v>196</v>
      </c>
      <c r="D1441" s="76" t="s">
        <v>253</v>
      </c>
      <c r="E1441" s="76" t="s">
        <v>70</v>
      </c>
      <c r="F1441" s="78" t="s">
        <v>209</v>
      </c>
      <c r="G1441" s="209">
        <f>SUM(G1442:G1447)-G1446</f>
        <v>0</v>
      </c>
      <c r="H1441" s="152">
        <f>SUM(H1442:H1447)-H1446</f>
        <v>0</v>
      </c>
      <c r="I1441" s="152">
        <f>SUM(I1442:I1447)-I1446</f>
        <v>0</v>
      </c>
      <c r="J1441" s="209">
        <f>SUM(J1442:J1447)-J1446</f>
        <v>0</v>
      </c>
      <c r="K1441" s="299">
        <f>SUM(K1442:K1447)-K1446</f>
        <v>0</v>
      </c>
      <c r="L1441" s="319"/>
      <c r="M1441" s="152"/>
      <c r="N1441" s="209"/>
      <c r="O1441" s="209"/>
      <c r="P1441" s="299"/>
      <c r="Q1441" s="448"/>
      <c r="R1441" s="448"/>
      <c r="S1441" s="465" t="e">
        <f t="shared" si="279"/>
        <v>#DIV/0!</v>
      </c>
    </row>
    <row r="1442" spans="1:19" ht="14.25" customHeight="1" hidden="1">
      <c r="A1442" s="46" t="s">
        <v>77</v>
      </c>
      <c r="B1442" s="71" t="s">
        <v>202</v>
      </c>
      <c r="C1442" s="76" t="s">
        <v>196</v>
      </c>
      <c r="D1442" s="76" t="s">
        <v>253</v>
      </c>
      <c r="E1442" s="76" t="s">
        <v>70</v>
      </c>
      <c r="F1442" s="78" t="s">
        <v>209</v>
      </c>
      <c r="G1442" s="209"/>
      <c r="H1442" s="152"/>
      <c r="I1442" s="152"/>
      <c r="J1442" s="209"/>
      <c r="K1442" s="299"/>
      <c r="L1442" s="319"/>
      <c r="M1442" s="152"/>
      <c r="N1442" s="209"/>
      <c r="O1442" s="209"/>
      <c r="P1442" s="299"/>
      <c r="Q1442" s="448"/>
      <c r="R1442" s="448"/>
      <c r="S1442" s="465" t="e">
        <f t="shared" si="279"/>
        <v>#DIV/0!</v>
      </c>
    </row>
    <row r="1443" spans="1:19" ht="14.25" customHeight="1" hidden="1">
      <c r="A1443" s="46" t="s">
        <v>78</v>
      </c>
      <c r="B1443" s="71" t="s">
        <v>202</v>
      </c>
      <c r="C1443" s="76" t="s">
        <v>196</v>
      </c>
      <c r="D1443" s="76" t="s">
        <v>253</v>
      </c>
      <c r="E1443" s="76" t="s">
        <v>70</v>
      </c>
      <c r="F1443" s="78" t="s">
        <v>209</v>
      </c>
      <c r="G1443" s="209"/>
      <c r="H1443" s="152"/>
      <c r="I1443" s="152"/>
      <c r="J1443" s="209"/>
      <c r="K1443" s="299"/>
      <c r="L1443" s="319"/>
      <c r="M1443" s="152"/>
      <c r="N1443" s="209"/>
      <c r="O1443" s="209"/>
      <c r="P1443" s="299"/>
      <c r="Q1443" s="448"/>
      <c r="R1443" s="448"/>
      <c r="S1443" s="465" t="e">
        <f t="shared" si="279"/>
        <v>#DIV/0!</v>
      </c>
    </row>
    <row r="1444" spans="1:19" ht="14.25" customHeight="1" hidden="1">
      <c r="A1444" s="46"/>
      <c r="B1444" s="71"/>
      <c r="C1444" s="76"/>
      <c r="D1444" s="76"/>
      <c r="E1444" s="76" t="s">
        <v>70</v>
      </c>
      <c r="F1444" s="78"/>
      <c r="G1444" s="209"/>
      <c r="H1444" s="152"/>
      <c r="I1444" s="152"/>
      <c r="J1444" s="209"/>
      <c r="K1444" s="299"/>
      <c r="L1444" s="319"/>
      <c r="M1444" s="152"/>
      <c r="N1444" s="209"/>
      <c r="O1444" s="209"/>
      <c r="P1444" s="299"/>
      <c r="Q1444" s="448"/>
      <c r="R1444" s="448"/>
      <c r="S1444" s="465" t="e">
        <f t="shared" si="279"/>
        <v>#DIV/0!</v>
      </c>
    </row>
    <row r="1445" spans="1:19" ht="14.25" customHeight="1" hidden="1">
      <c r="A1445" s="46" t="s">
        <v>77</v>
      </c>
      <c r="B1445" s="71" t="s">
        <v>340</v>
      </c>
      <c r="C1445" s="76" t="s">
        <v>196</v>
      </c>
      <c r="D1445" s="76" t="s">
        <v>253</v>
      </c>
      <c r="E1445" s="76" t="s">
        <v>70</v>
      </c>
      <c r="F1445" s="78" t="s">
        <v>209</v>
      </c>
      <c r="G1445" s="209"/>
      <c r="H1445" s="152"/>
      <c r="I1445" s="152"/>
      <c r="J1445" s="209"/>
      <c r="K1445" s="299"/>
      <c r="L1445" s="319"/>
      <c r="M1445" s="152"/>
      <c r="N1445" s="209"/>
      <c r="O1445" s="209"/>
      <c r="P1445" s="299"/>
      <c r="Q1445" s="448"/>
      <c r="R1445" s="448"/>
      <c r="S1445" s="465" t="e">
        <f t="shared" si="279"/>
        <v>#DIV/0!</v>
      </c>
    </row>
    <row r="1446" spans="1:19" ht="14.25" customHeight="1" hidden="1">
      <c r="A1446" s="46" t="s">
        <v>227</v>
      </c>
      <c r="B1446" s="71" t="s">
        <v>340</v>
      </c>
      <c r="C1446" s="76" t="s">
        <v>196</v>
      </c>
      <c r="D1446" s="76" t="s">
        <v>253</v>
      </c>
      <c r="E1446" s="76" t="s">
        <v>70</v>
      </c>
      <c r="F1446" s="78" t="s">
        <v>209</v>
      </c>
      <c r="G1446" s="209"/>
      <c r="H1446" s="152"/>
      <c r="I1446" s="152"/>
      <c r="J1446" s="209"/>
      <c r="K1446" s="299"/>
      <c r="L1446" s="319"/>
      <c r="M1446" s="152"/>
      <c r="N1446" s="209"/>
      <c r="O1446" s="209"/>
      <c r="P1446" s="299"/>
      <c r="Q1446" s="448"/>
      <c r="R1446" s="448"/>
      <c r="S1446" s="465" t="e">
        <f t="shared" si="279"/>
        <v>#DIV/0!</v>
      </c>
    </row>
    <row r="1447" spans="1:19" ht="14.25" customHeight="1" hidden="1">
      <c r="A1447" s="46"/>
      <c r="B1447" s="71" t="s">
        <v>299</v>
      </c>
      <c r="C1447" s="76" t="s">
        <v>196</v>
      </c>
      <c r="D1447" s="76" t="s">
        <v>253</v>
      </c>
      <c r="E1447" s="76" t="s">
        <v>70</v>
      </c>
      <c r="F1447" s="78" t="s">
        <v>209</v>
      </c>
      <c r="G1447" s="209"/>
      <c r="H1447" s="152"/>
      <c r="I1447" s="152"/>
      <c r="J1447" s="209"/>
      <c r="K1447" s="299"/>
      <c r="L1447" s="319"/>
      <c r="M1447" s="152"/>
      <c r="N1447" s="209"/>
      <c r="O1447" s="209"/>
      <c r="P1447" s="299"/>
      <c r="Q1447" s="448"/>
      <c r="R1447" s="448"/>
      <c r="S1447" s="465" t="e">
        <f t="shared" si="279"/>
        <v>#DIV/0!</v>
      </c>
    </row>
    <row r="1448" spans="1:19" ht="14.25" customHeight="1" hidden="1">
      <c r="A1448" s="46" t="s">
        <v>228</v>
      </c>
      <c r="B1448" s="71"/>
      <c r="C1448" s="76" t="s">
        <v>196</v>
      </c>
      <c r="D1448" s="76" t="s">
        <v>253</v>
      </c>
      <c r="E1448" s="76" t="s">
        <v>70</v>
      </c>
      <c r="F1448" s="78" t="s">
        <v>209</v>
      </c>
      <c r="G1448" s="209">
        <f>SUM(G1449:G1453)</f>
        <v>0</v>
      </c>
      <c r="H1448" s="152">
        <f>SUM(H1449:H1453)</f>
        <v>0</v>
      </c>
      <c r="I1448" s="152">
        <f>SUM(I1449:I1453)</f>
        <v>0</v>
      </c>
      <c r="J1448" s="209">
        <f>SUM(J1449:J1453)</f>
        <v>0</v>
      </c>
      <c r="K1448" s="299">
        <f>SUM(K1449:K1453)</f>
        <v>0</v>
      </c>
      <c r="L1448" s="319"/>
      <c r="M1448" s="152"/>
      <c r="N1448" s="209"/>
      <c r="O1448" s="209"/>
      <c r="P1448" s="299"/>
      <c r="Q1448" s="448"/>
      <c r="R1448" s="448"/>
      <c r="S1448" s="465" t="e">
        <f t="shared" si="279"/>
        <v>#DIV/0!</v>
      </c>
    </row>
    <row r="1449" spans="1:19" ht="14.25" customHeight="1" hidden="1">
      <c r="A1449" s="39" t="s">
        <v>229</v>
      </c>
      <c r="B1449" s="71" t="s">
        <v>202</v>
      </c>
      <c r="C1449" s="76" t="s">
        <v>196</v>
      </c>
      <c r="D1449" s="76" t="s">
        <v>253</v>
      </c>
      <c r="E1449" s="76" t="s">
        <v>70</v>
      </c>
      <c r="F1449" s="78" t="s">
        <v>209</v>
      </c>
      <c r="G1449" s="209"/>
      <c r="H1449" s="152"/>
      <c r="I1449" s="152"/>
      <c r="J1449" s="209"/>
      <c r="K1449" s="299"/>
      <c r="L1449" s="319"/>
      <c r="M1449" s="152"/>
      <c r="N1449" s="209"/>
      <c r="O1449" s="209"/>
      <c r="P1449" s="299"/>
      <c r="Q1449" s="448"/>
      <c r="R1449" s="448"/>
      <c r="S1449" s="465" t="e">
        <f t="shared" si="279"/>
        <v>#DIV/0!</v>
      </c>
    </row>
    <row r="1450" spans="1:19" ht="14.25" customHeight="1" hidden="1">
      <c r="A1450" s="46" t="s">
        <v>435</v>
      </c>
      <c r="B1450" s="71" t="s">
        <v>202</v>
      </c>
      <c r="C1450" s="76" t="s">
        <v>196</v>
      </c>
      <c r="D1450" s="76" t="s">
        <v>253</v>
      </c>
      <c r="E1450" s="76" t="s">
        <v>70</v>
      </c>
      <c r="F1450" s="78" t="s">
        <v>209</v>
      </c>
      <c r="G1450" s="209"/>
      <c r="H1450" s="152"/>
      <c r="I1450" s="152"/>
      <c r="J1450" s="209"/>
      <c r="K1450" s="299"/>
      <c r="L1450" s="319"/>
      <c r="M1450" s="152"/>
      <c r="N1450" s="209"/>
      <c r="O1450" s="209"/>
      <c r="P1450" s="299"/>
      <c r="Q1450" s="448"/>
      <c r="R1450" s="448"/>
      <c r="S1450" s="465" t="e">
        <f t="shared" si="279"/>
        <v>#DIV/0!</v>
      </c>
    </row>
    <row r="1451" spans="1:19" ht="14.25" customHeight="1" hidden="1">
      <c r="A1451" s="46" t="s">
        <v>435</v>
      </c>
      <c r="B1451" s="71" t="s">
        <v>299</v>
      </c>
      <c r="C1451" s="76" t="s">
        <v>196</v>
      </c>
      <c r="D1451" s="76" t="s">
        <v>253</v>
      </c>
      <c r="E1451" s="76" t="s">
        <v>70</v>
      </c>
      <c r="F1451" s="78" t="s">
        <v>209</v>
      </c>
      <c r="G1451" s="209">
        <v>0</v>
      </c>
      <c r="H1451" s="152">
        <v>0</v>
      </c>
      <c r="I1451" s="152">
        <v>0</v>
      </c>
      <c r="J1451" s="209">
        <v>0</v>
      </c>
      <c r="K1451" s="299">
        <v>0</v>
      </c>
      <c r="L1451" s="319"/>
      <c r="M1451" s="152"/>
      <c r="N1451" s="209"/>
      <c r="O1451" s="209"/>
      <c r="P1451" s="299"/>
      <c r="Q1451" s="448"/>
      <c r="R1451" s="448"/>
      <c r="S1451" s="465" t="e">
        <f t="shared" si="279"/>
        <v>#DIV/0!</v>
      </c>
    </row>
    <row r="1452" spans="1:19" ht="14.25" customHeight="1" hidden="1">
      <c r="A1452" s="46" t="s">
        <v>435</v>
      </c>
      <c r="B1452" s="71" t="s">
        <v>340</v>
      </c>
      <c r="C1452" s="76" t="s">
        <v>196</v>
      </c>
      <c r="D1452" s="76" t="s">
        <v>253</v>
      </c>
      <c r="E1452" s="76" t="s">
        <v>70</v>
      </c>
      <c r="F1452" s="78" t="s">
        <v>209</v>
      </c>
      <c r="G1452" s="209"/>
      <c r="H1452" s="152"/>
      <c r="I1452" s="152"/>
      <c r="J1452" s="209"/>
      <c r="K1452" s="299"/>
      <c r="L1452" s="319"/>
      <c r="M1452" s="152"/>
      <c r="N1452" s="209"/>
      <c r="O1452" s="209"/>
      <c r="P1452" s="299"/>
      <c r="Q1452" s="448"/>
      <c r="R1452" s="448"/>
      <c r="S1452" s="465" t="e">
        <f t="shared" si="279"/>
        <v>#DIV/0!</v>
      </c>
    </row>
    <row r="1453" spans="1:19" ht="14.25" customHeight="1" hidden="1">
      <c r="A1453" s="46"/>
      <c r="B1453" s="71" t="s">
        <v>340</v>
      </c>
      <c r="C1453" s="76" t="s">
        <v>196</v>
      </c>
      <c r="D1453" s="76" t="s">
        <v>253</v>
      </c>
      <c r="E1453" s="76" t="s">
        <v>70</v>
      </c>
      <c r="F1453" s="78" t="s">
        <v>209</v>
      </c>
      <c r="G1453" s="209"/>
      <c r="H1453" s="152"/>
      <c r="I1453" s="152"/>
      <c r="J1453" s="209"/>
      <c r="K1453" s="299"/>
      <c r="L1453" s="319"/>
      <c r="M1453" s="152"/>
      <c r="N1453" s="209"/>
      <c r="O1453" s="209"/>
      <c r="P1453" s="299"/>
      <c r="Q1453" s="448"/>
      <c r="R1453" s="448"/>
      <c r="S1453" s="465" t="e">
        <f t="shared" si="279"/>
        <v>#DIV/0!</v>
      </c>
    </row>
    <row r="1454" spans="1:19" ht="14.25" customHeight="1" hidden="1">
      <c r="A1454" s="46" t="s">
        <v>79</v>
      </c>
      <c r="B1454" s="71"/>
      <c r="C1454" s="76" t="s">
        <v>196</v>
      </c>
      <c r="D1454" s="76" t="s">
        <v>199</v>
      </c>
      <c r="E1454" s="76" t="s">
        <v>200</v>
      </c>
      <c r="F1454" s="78" t="s">
        <v>201</v>
      </c>
      <c r="G1454" s="228" t="e">
        <f>G1455+G1471</f>
        <v>#REF!</v>
      </c>
      <c r="H1454" s="229" t="e">
        <f>H1455+H1471</f>
        <v>#REF!</v>
      </c>
      <c r="I1454" s="229" t="e">
        <f>I1455+I1471</f>
        <v>#REF!</v>
      </c>
      <c r="J1454" s="228" t="e">
        <f>J1455+J1471</f>
        <v>#REF!</v>
      </c>
      <c r="K1454" s="308" t="e">
        <f>K1455+K1471</f>
        <v>#REF!</v>
      </c>
      <c r="L1454" s="321"/>
      <c r="M1454" s="229"/>
      <c r="N1454" s="228"/>
      <c r="O1454" s="228"/>
      <c r="P1454" s="308"/>
      <c r="Q1454" s="456"/>
      <c r="R1454" s="456"/>
      <c r="S1454" s="465" t="e">
        <f t="shared" si="279"/>
        <v>#DIV/0!</v>
      </c>
    </row>
    <row r="1455" spans="1:19" ht="14.25" customHeight="1" hidden="1">
      <c r="A1455" s="46" t="s">
        <v>210</v>
      </c>
      <c r="B1455" s="71"/>
      <c r="C1455" s="76" t="s">
        <v>196</v>
      </c>
      <c r="D1455" s="76" t="s">
        <v>199</v>
      </c>
      <c r="E1455" s="76" t="s">
        <v>200</v>
      </c>
      <c r="F1455" s="78" t="s">
        <v>201</v>
      </c>
      <c r="G1455" s="209" t="e">
        <f>G1456+G1460+G1467+G1470</f>
        <v>#REF!</v>
      </c>
      <c r="H1455" s="152" t="e">
        <f>H1456+H1460+H1467+H1470</f>
        <v>#REF!</v>
      </c>
      <c r="I1455" s="152" t="e">
        <f>I1456+I1460+I1467+I1470</f>
        <v>#REF!</v>
      </c>
      <c r="J1455" s="209" t="e">
        <f>J1456+J1460+J1467+J1470</f>
        <v>#REF!</v>
      </c>
      <c r="K1455" s="299" t="e">
        <f>K1456+K1460+K1467+K1470</f>
        <v>#REF!</v>
      </c>
      <c r="L1455" s="319"/>
      <c r="M1455" s="152"/>
      <c r="N1455" s="209"/>
      <c r="O1455" s="209"/>
      <c r="P1455" s="299"/>
      <c r="Q1455" s="448"/>
      <c r="R1455" s="448"/>
      <c r="S1455" s="465" t="e">
        <f t="shared" si="279"/>
        <v>#DIV/0!</v>
      </c>
    </row>
    <row r="1456" spans="1:19" ht="14.25" customHeight="1" hidden="1">
      <c r="A1456" s="46" t="s">
        <v>211</v>
      </c>
      <c r="B1456" s="71"/>
      <c r="C1456" s="76" t="s">
        <v>196</v>
      </c>
      <c r="D1456" s="76" t="s">
        <v>199</v>
      </c>
      <c r="E1456" s="76" t="s">
        <v>200</v>
      </c>
      <c r="F1456" s="78" t="s">
        <v>201</v>
      </c>
      <c r="G1456" s="209">
        <f>SUM(G1457:G1459)</f>
        <v>0</v>
      </c>
      <c r="H1456" s="152">
        <f>SUM(H1457:H1459)</f>
        <v>0</v>
      </c>
      <c r="I1456" s="152">
        <f>SUM(I1457:I1459)</f>
        <v>0</v>
      </c>
      <c r="J1456" s="209">
        <f>SUM(J1457:J1459)</f>
        <v>0</v>
      </c>
      <c r="K1456" s="299">
        <f>SUM(K1457:K1459)</f>
        <v>0</v>
      </c>
      <c r="L1456" s="319"/>
      <c r="M1456" s="152"/>
      <c r="N1456" s="209"/>
      <c r="O1456" s="209"/>
      <c r="P1456" s="299"/>
      <c r="Q1456" s="448"/>
      <c r="R1456" s="448"/>
      <c r="S1456" s="465" t="e">
        <f t="shared" si="279"/>
        <v>#DIV/0!</v>
      </c>
    </row>
    <row r="1457" spans="1:19" ht="14.25" customHeight="1" hidden="1">
      <c r="A1457" s="46" t="s">
        <v>212</v>
      </c>
      <c r="B1457" s="71"/>
      <c r="C1457" s="76" t="s">
        <v>196</v>
      </c>
      <c r="D1457" s="76" t="s">
        <v>199</v>
      </c>
      <c r="E1457" s="76" t="s">
        <v>200</v>
      </c>
      <c r="F1457" s="78" t="s">
        <v>201</v>
      </c>
      <c r="G1457" s="209">
        <f>G1375+G1397+G1344</f>
        <v>0</v>
      </c>
      <c r="H1457" s="152">
        <f>H1375+H1397+H1344</f>
        <v>0</v>
      </c>
      <c r="I1457" s="152">
        <f>I1375+I1397+I1344</f>
        <v>0</v>
      </c>
      <c r="J1457" s="209">
        <f>J1375+J1397+J1344</f>
        <v>0</v>
      </c>
      <c r="K1457" s="299">
        <f>K1375+K1397+K1344</f>
        <v>0</v>
      </c>
      <c r="L1457" s="319"/>
      <c r="M1457" s="152"/>
      <c r="N1457" s="209"/>
      <c r="O1457" s="209"/>
      <c r="P1457" s="299"/>
      <c r="Q1457" s="448"/>
      <c r="R1457" s="448"/>
      <c r="S1457" s="465" t="e">
        <f t="shared" si="279"/>
        <v>#DIV/0!</v>
      </c>
    </row>
    <row r="1458" spans="1:19" ht="14.25" customHeight="1" hidden="1">
      <c r="A1458" s="46" t="s">
        <v>213</v>
      </c>
      <c r="B1458" s="71"/>
      <c r="C1458" s="76" t="s">
        <v>196</v>
      </c>
      <c r="D1458" s="76" t="s">
        <v>199</v>
      </c>
      <c r="E1458" s="76" t="s">
        <v>200</v>
      </c>
      <c r="F1458" s="78" t="s">
        <v>201</v>
      </c>
      <c r="G1458" s="209">
        <f>G1376+G1398</f>
        <v>0</v>
      </c>
      <c r="H1458" s="152">
        <f>H1376+H1398</f>
        <v>0</v>
      </c>
      <c r="I1458" s="152">
        <f>I1376+I1398</f>
        <v>0</v>
      </c>
      <c r="J1458" s="209">
        <f>J1376+J1398</f>
        <v>0</v>
      </c>
      <c r="K1458" s="299">
        <f>K1376+K1398</f>
        <v>0</v>
      </c>
      <c r="L1458" s="319"/>
      <c r="M1458" s="152"/>
      <c r="N1458" s="209"/>
      <c r="O1458" s="209"/>
      <c r="P1458" s="299"/>
      <c r="Q1458" s="448"/>
      <c r="R1458" s="448"/>
      <c r="S1458" s="465" t="e">
        <f t="shared" si="279"/>
        <v>#DIV/0!</v>
      </c>
    </row>
    <row r="1459" spans="1:19" ht="14.25" customHeight="1" hidden="1">
      <c r="A1459" s="46" t="s">
        <v>214</v>
      </c>
      <c r="B1459" s="71"/>
      <c r="C1459" s="76" t="s">
        <v>196</v>
      </c>
      <c r="D1459" s="76" t="s">
        <v>199</v>
      </c>
      <c r="E1459" s="76" t="s">
        <v>200</v>
      </c>
      <c r="F1459" s="78" t="s">
        <v>201</v>
      </c>
      <c r="G1459" s="209">
        <f>G1377+G1399+G1345</f>
        <v>0</v>
      </c>
      <c r="H1459" s="152">
        <f>H1377+H1399+H1345</f>
        <v>0</v>
      </c>
      <c r="I1459" s="152">
        <f>I1377+I1399+I1345</f>
        <v>0</v>
      </c>
      <c r="J1459" s="209">
        <f>J1377+J1399+J1345</f>
        <v>0</v>
      </c>
      <c r="K1459" s="299">
        <f>K1377+K1399+K1345</f>
        <v>0</v>
      </c>
      <c r="L1459" s="319"/>
      <c r="M1459" s="152"/>
      <c r="N1459" s="209"/>
      <c r="O1459" s="209"/>
      <c r="P1459" s="299"/>
      <c r="Q1459" s="448"/>
      <c r="R1459" s="448"/>
      <c r="S1459" s="465" t="e">
        <f t="shared" si="279"/>
        <v>#DIV/0!</v>
      </c>
    </row>
    <row r="1460" spans="1:19" ht="14.25" customHeight="1" hidden="1">
      <c r="A1460" s="46" t="s">
        <v>222</v>
      </c>
      <c r="B1460" s="71"/>
      <c r="C1460" s="76" t="s">
        <v>196</v>
      </c>
      <c r="D1460" s="76" t="s">
        <v>199</v>
      </c>
      <c r="E1460" s="76" t="s">
        <v>200</v>
      </c>
      <c r="F1460" s="78" t="s">
        <v>201</v>
      </c>
      <c r="G1460" s="209" t="e">
        <f>SUM(G1461:G1466)</f>
        <v>#REF!</v>
      </c>
      <c r="H1460" s="152" t="e">
        <f>SUM(H1461:H1466)</f>
        <v>#REF!</v>
      </c>
      <c r="I1460" s="152" t="e">
        <f>SUM(I1461:I1466)</f>
        <v>#REF!</v>
      </c>
      <c r="J1460" s="209" t="e">
        <f>SUM(J1461:J1466)</f>
        <v>#REF!</v>
      </c>
      <c r="K1460" s="299" t="e">
        <f>SUM(K1461:K1466)</f>
        <v>#REF!</v>
      </c>
      <c r="L1460" s="319"/>
      <c r="M1460" s="152"/>
      <c r="N1460" s="209"/>
      <c r="O1460" s="209"/>
      <c r="P1460" s="299"/>
      <c r="Q1460" s="448"/>
      <c r="R1460" s="448"/>
      <c r="S1460" s="465" t="e">
        <f t="shared" si="279"/>
        <v>#DIV/0!</v>
      </c>
    </row>
    <row r="1461" spans="1:19" ht="14.25" customHeight="1" hidden="1">
      <c r="A1461" s="46" t="s">
        <v>223</v>
      </c>
      <c r="B1461" s="71"/>
      <c r="C1461" s="76" t="s">
        <v>196</v>
      </c>
      <c r="D1461" s="76" t="s">
        <v>199</v>
      </c>
      <c r="E1461" s="76" t="s">
        <v>200</v>
      </c>
      <c r="F1461" s="78" t="s">
        <v>201</v>
      </c>
      <c r="G1461" s="209" t="e">
        <f>#REF!+G1379+G1401+G1347</f>
        <v>#REF!</v>
      </c>
      <c r="H1461" s="152" t="e">
        <f>#REF!+H1379+H1401+H1347</f>
        <v>#REF!</v>
      </c>
      <c r="I1461" s="152" t="e">
        <f>#REF!+I1379+I1401+I1347</f>
        <v>#REF!</v>
      </c>
      <c r="J1461" s="209" t="e">
        <f>#REF!+J1379+J1401+J1347</f>
        <v>#REF!</v>
      </c>
      <c r="K1461" s="299" t="e">
        <f>#REF!+K1379+K1401+K1347</f>
        <v>#REF!</v>
      </c>
      <c r="L1461" s="319"/>
      <c r="M1461" s="152"/>
      <c r="N1461" s="209"/>
      <c r="O1461" s="209"/>
      <c r="P1461" s="299"/>
      <c r="Q1461" s="448"/>
      <c r="R1461" s="448"/>
      <c r="S1461" s="465" t="e">
        <f t="shared" si="279"/>
        <v>#DIV/0!</v>
      </c>
    </row>
    <row r="1462" spans="1:19" ht="14.25" customHeight="1" hidden="1">
      <c r="A1462" s="46" t="s">
        <v>224</v>
      </c>
      <c r="B1462" s="71"/>
      <c r="C1462" s="76" t="s">
        <v>196</v>
      </c>
      <c r="D1462" s="76" t="s">
        <v>199</v>
      </c>
      <c r="E1462" s="76" t="s">
        <v>200</v>
      </c>
      <c r="F1462" s="78" t="s">
        <v>201</v>
      </c>
      <c r="G1462" s="209">
        <f>G1380+G1402</f>
        <v>0</v>
      </c>
      <c r="H1462" s="152">
        <f>H1380+H1402</f>
        <v>0</v>
      </c>
      <c r="I1462" s="152">
        <f>I1380+I1402</f>
        <v>0</v>
      </c>
      <c r="J1462" s="209">
        <f>J1380+J1402</f>
        <v>0</v>
      </c>
      <c r="K1462" s="299">
        <f>K1380+K1402</f>
        <v>0</v>
      </c>
      <c r="L1462" s="319"/>
      <c r="M1462" s="152"/>
      <c r="N1462" s="209"/>
      <c r="O1462" s="209"/>
      <c r="P1462" s="299"/>
      <c r="Q1462" s="448"/>
      <c r="R1462" s="448"/>
      <c r="S1462" s="465" t="e">
        <f t="shared" si="279"/>
        <v>#DIV/0!</v>
      </c>
    </row>
    <row r="1463" spans="1:19" ht="14.25" customHeight="1" hidden="1">
      <c r="A1463" s="46" t="s">
        <v>242</v>
      </c>
      <c r="B1463" s="71"/>
      <c r="C1463" s="76" t="s">
        <v>196</v>
      </c>
      <c r="D1463" s="76" t="s">
        <v>199</v>
      </c>
      <c r="E1463" s="76" t="s">
        <v>200</v>
      </c>
      <c r="F1463" s="78" t="s">
        <v>201</v>
      </c>
      <c r="G1463" s="209">
        <f>G1403</f>
        <v>0</v>
      </c>
      <c r="H1463" s="152">
        <f>H1403</f>
        <v>0</v>
      </c>
      <c r="I1463" s="152">
        <f>I1403</f>
        <v>0</v>
      </c>
      <c r="J1463" s="209">
        <f>J1403</f>
        <v>0</v>
      </c>
      <c r="K1463" s="299">
        <f>K1403</f>
        <v>0</v>
      </c>
      <c r="L1463" s="319"/>
      <c r="M1463" s="152"/>
      <c r="N1463" s="209"/>
      <c r="O1463" s="209"/>
      <c r="P1463" s="299"/>
      <c r="Q1463" s="448"/>
      <c r="R1463" s="448"/>
      <c r="S1463" s="465" t="e">
        <f t="shared" si="279"/>
        <v>#DIV/0!</v>
      </c>
    </row>
    <row r="1464" spans="1:19" ht="14.25" customHeight="1" hidden="1">
      <c r="A1464" s="46" t="s">
        <v>243</v>
      </c>
      <c r="B1464" s="71"/>
      <c r="C1464" s="76" t="s">
        <v>196</v>
      </c>
      <c r="D1464" s="76" t="s">
        <v>199</v>
      </c>
      <c r="E1464" s="76" t="s">
        <v>200</v>
      </c>
      <c r="F1464" s="78" t="s">
        <v>201</v>
      </c>
      <c r="G1464" s="209">
        <f aca="true" t="shared" si="283" ref="G1464:I1465">G1404+G1382</f>
        <v>0</v>
      </c>
      <c r="H1464" s="152">
        <f t="shared" si="283"/>
        <v>0</v>
      </c>
      <c r="I1464" s="152">
        <f t="shared" si="283"/>
        <v>0</v>
      </c>
      <c r="J1464" s="209">
        <f>J1404+J1382</f>
        <v>0</v>
      </c>
      <c r="K1464" s="299">
        <f>K1404+K1382</f>
        <v>0</v>
      </c>
      <c r="L1464" s="319"/>
      <c r="M1464" s="152"/>
      <c r="N1464" s="209"/>
      <c r="O1464" s="209"/>
      <c r="P1464" s="299"/>
      <c r="Q1464" s="448"/>
      <c r="R1464" s="448"/>
      <c r="S1464" s="465" t="e">
        <f t="shared" si="279"/>
        <v>#DIV/0!</v>
      </c>
    </row>
    <row r="1465" spans="1:19" ht="14.25" customHeight="1" hidden="1">
      <c r="A1465" s="46" t="s">
        <v>225</v>
      </c>
      <c r="B1465" s="71"/>
      <c r="C1465" s="76" t="s">
        <v>196</v>
      </c>
      <c r="D1465" s="76" t="s">
        <v>199</v>
      </c>
      <c r="E1465" s="76" t="s">
        <v>200</v>
      </c>
      <c r="F1465" s="78" t="s">
        <v>201</v>
      </c>
      <c r="G1465" s="209">
        <f t="shared" si="283"/>
        <v>0</v>
      </c>
      <c r="H1465" s="152">
        <f t="shared" si="283"/>
        <v>0</v>
      </c>
      <c r="I1465" s="152">
        <f t="shared" si="283"/>
        <v>0</v>
      </c>
      <c r="J1465" s="209">
        <f>J1405+J1383</f>
        <v>0</v>
      </c>
      <c r="K1465" s="299">
        <f>K1405+K1383</f>
        <v>0</v>
      </c>
      <c r="L1465" s="319"/>
      <c r="M1465" s="152"/>
      <c r="N1465" s="209"/>
      <c r="O1465" s="209"/>
      <c r="P1465" s="299"/>
      <c r="Q1465" s="448"/>
      <c r="R1465" s="448"/>
      <c r="S1465" s="465" t="e">
        <f t="shared" si="279"/>
        <v>#DIV/0!</v>
      </c>
    </row>
    <row r="1466" spans="1:19" ht="14.25" customHeight="1" hidden="1">
      <c r="A1466" s="46" t="s">
        <v>226</v>
      </c>
      <c r="B1466" s="71"/>
      <c r="C1466" s="76" t="s">
        <v>196</v>
      </c>
      <c r="D1466" s="76" t="s">
        <v>199</v>
      </c>
      <c r="E1466" s="76" t="s">
        <v>200</v>
      </c>
      <c r="F1466" s="78" t="s">
        <v>201</v>
      </c>
      <c r="G1466" s="209" t="e">
        <f>#REF!+#REF!+G1384+G1442+G1443+G1445+#REF!+G1423+G1424+#REF!+G1406+G1447+G1348</f>
        <v>#REF!</v>
      </c>
      <c r="H1466" s="152" t="e">
        <f>#REF!+#REF!+H1384+H1442+H1443+H1445+#REF!+H1423+H1424+#REF!+H1406+H1447+H1348</f>
        <v>#REF!</v>
      </c>
      <c r="I1466" s="152" t="e">
        <f>#REF!+#REF!+I1384+I1442+I1443+I1445+#REF!+I1423+I1424+#REF!+I1406+I1447+I1348</f>
        <v>#REF!</v>
      </c>
      <c r="J1466" s="209" t="e">
        <f>#REF!+#REF!+J1384+J1442+J1443+J1445+#REF!+J1423+J1424+#REF!+J1406+J1447+J1348</f>
        <v>#REF!</v>
      </c>
      <c r="K1466" s="299" t="e">
        <f>#REF!+#REF!+K1384+K1442+K1443+K1445+#REF!+K1423+K1424+#REF!+K1406+K1447+K1348</f>
        <v>#REF!</v>
      </c>
      <c r="L1466" s="319"/>
      <c r="M1466" s="152"/>
      <c r="N1466" s="209"/>
      <c r="O1466" s="209"/>
      <c r="P1466" s="299"/>
      <c r="Q1466" s="448"/>
      <c r="R1466" s="448"/>
      <c r="S1466" s="465" t="e">
        <f t="shared" si="279"/>
        <v>#DIV/0!</v>
      </c>
    </row>
    <row r="1467" spans="1:19" ht="14.25" customHeight="1" hidden="1">
      <c r="A1467" s="45" t="s">
        <v>400</v>
      </c>
      <c r="B1467" s="71"/>
      <c r="C1467" s="76" t="s">
        <v>196</v>
      </c>
      <c r="D1467" s="76" t="s">
        <v>199</v>
      </c>
      <c r="E1467" s="76" t="s">
        <v>200</v>
      </c>
      <c r="F1467" s="78" t="s">
        <v>263</v>
      </c>
      <c r="G1467" s="209">
        <f>SUM(G1468:G1469)</f>
        <v>4380</v>
      </c>
      <c r="H1467" s="152">
        <f>SUM(H1468:H1469)</f>
        <v>4380</v>
      </c>
      <c r="I1467" s="152">
        <f>SUM(I1468:I1469)</f>
        <v>4380</v>
      </c>
      <c r="J1467" s="209">
        <f>SUM(J1468:J1469)</f>
        <v>4380</v>
      </c>
      <c r="K1467" s="299">
        <f>SUM(K1468:K1469)</f>
        <v>4380</v>
      </c>
      <c r="L1467" s="319"/>
      <c r="M1467" s="152"/>
      <c r="N1467" s="209"/>
      <c r="O1467" s="209"/>
      <c r="P1467" s="299"/>
      <c r="Q1467" s="448"/>
      <c r="R1467" s="448"/>
      <c r="S1467" s="465" t="e">
        <f t="shared" si="279"/>
        <v>#DIV/0!</v>
      </c>
    </row>
    <row r="1468" spans="1:19" ht="14.25" customHeight="1" hidden="1">
      <c r="A1468" s="46" t="s">
        <v>401</v>
      </c>
      <c r="B1468" s="71"/>
      <c r="C1468" s="76" t="s">
        <v>196</v>
      </c>
      <c r="D1468" s="76" t="s">
        <v>199</v>
      </c>
      <c r="E1468" s="76" t="s">
        <v>200</v>
      </c>
      <c r="F1468" s="78" t="s">
        <v>263</v>
      </c>
      <c r="G1468" s="209"/>
      <c r="H1468" s="152"/>
      <c r="I1468" s="152"/>
      <c r="J1468" s="209"/>
      <c r="K1468" s="299"/>
      <c r="L1468" s="319"/>
      <c r="M1468" s="152"/>
      <c r="N1468" s="209"/>
      <c r="O1468" s="209"/>
      <c r="P1468" s="299"/>
      <c r="Q1468" s="448"/>
      <c r="R1468" s="448"/>
      <c r="S1468" s="465" t="e">
        <f t="shared" si="279"/>
        <v>#DIV/0!</v>
      </c>
    </row>
    <row r="1469" spans="1:19" ht="14.25" customHeight="1" hidden="1">
      <c r="A1469" s="46" t="s">
        <v>26</v>
      </c>
      <c r="B1469" s="71"/>
      <c r="C1469" s="76" t="s">
        <v>196</v>
      </c>
      <c r="D1469" s="76" t="s">
        <v>199</v>
      </c>
      <c r="E1469" s="76" t="s">
        <v>200</v>
      </c>
      <c r="F1469" s="78" t="s">
        <v>263</v>
      </c>
      <c r="G1469" s="209">
        <f>G1253</f>
        <v>4380</v>
      </c>
      <c r="H1469" s="152">
        <f>H1253</f>
        <v>4380</v>
      </c>
      <c r="I1469" s="152">
        <f>I1253</f>
        <v>4380</v>
      </c>
      <c r="J1469" s="209">
        <f>J1253</f>
        <v>4380</v>
      </c>
      <c r="K1469" s="299">
        <f>K1253</f>
        <v>4380</v>
      </c>
      <c r="L1469" s="319"/>
      <c r="M1469" s="152"/>
      <c r="N1469" s="209"/>
      <c r="O1469" s="209"/>
      <c r="P1469" s="299"/>
      <c r="Q1469" s="448"/>
      <c r="R1469" s="448"/>
      <c r="S1469" s="465" t="e">
        <f t="shared" si="279"/>
        <v>#DIV/0!</v>
      </c>
    </row>
    <row r="1470" spans="1:19" ht="14.25" customHeight="1" hidden="1">
      <c r="A1470" s="46" t="s">
        <v>227</v>
      </c>
      <c r="B1470" s="71"/>
      <c r="C1470" s="76" t="s">
        <v>196</v>
      </c>
      <c r="D1470" s="76" t="s">
        <v>199</v>
      </c>
      <c r="E1470" s="76" t="s">
        <v>200</v>
      </c>
      <c r="F1470" s="78" t="s">
        <v>201</v>
      </c>
      <c r="G1470" s="209">
        <f>G1387+G1446+G1409+G1432+G1428+G1430</f>
        <v>1502</v>
      </c>
      <c r="H1470" s="152" t="e">
        <f>H1387+H1446+H1409+H1432+H1428+H1430</f>
        <v>#REF!</v>
      </c>
      <c r="I1470" s="152" t="e">
        <f>I1387+I1446+I1409+I1432+I1428+I1430</f>
        <v>#REF!</v>
      </c>
      <c r="J1470" s="209">
        <f>J1387+J1446+J1409+J1432+J1428+J1430</f>
        <v>0</v>
      </c>
      <c r="K1470" s="299">
        <f>K1387+K1446+K1409+K1432+K1428+K1430</f>
        <v>1502</v>
      </c>
      <c r="L1470" s="319"/>
      <c r="M1470" s="152"/>
      <c r="N1470" s="209"/>
      <c r="O1470" s="209"/>
      <c r="P1470" s="299"/>
      <c r="Q1470" s="448"/>
      <c r="R1470" s="448"/>
      <c r="S1470" s="465" t="e">
        <f t="shared" si="279"/>
        <v>#DIV/0!</v>
      </c>
    </row>
    <row r="1471" spans="1:19" ht="14.25" customHeight="1" hidden="1">
      <c r="A1471" s="46" t="s">
        <v>228</v>
      </c>
      <c r="B1471" s="71"/>
      <c r="C1471" s="76" t="s">
        <v>196</v>
      </c>
      <c r="D1471" s="76" t="s">
        <v>199</v>
      </c>
      <c r="E1471" s="76" t="s">
        <v>200</v>
      </c>
      <c r="F1471" s="78" t="s">
        <v>201</v>
      </c>
      <c r="G1471" s="209" t="e">
        <f>SUM(G1472:G1473)</f>
        <v>#REF!</v>
      </c>
      <c r="H1471" s="152" t="e">
        <f>SUM(H1472:H1473)</f>
        <v>#REF!</v>
      </c>
      <c r="I1471" s="152" t="e">
        <f>SUM(I1472:I1473)</f>
        <v>#REF!</v>
      </c>
      <c r="J1471" s="209" t="e">
        <f>SUM(J1472:J1473)</f>
        <v>#REF!</v>
      </c>
      <c r="K1471" s="299" t="e">
        <f>SUM(K1472:K1473)</f>
        <v>#REF!</v>
      </c>
      <c r="L1471" s="319"/>
      <c r="M1471" s="152"/>
      <c r="N1471" s="209"/>
      <c r="O1471" s="209"/>
      <c r="P1471" s="299"/>
      <c r="Q1471" s="448"/>
      <c r="R1471" s="448"/>
      <c r="S1471" s="465" t="e">
        <f t="shared" si="279"/>
        <v>#DIV/0!</v>
      </c>
    </row>
    <row r="1472" spans="1:19" ht="14.25" customHeight="1" hidden="1">
      <c r="A1472" s="46" t="s">
        <v>229</v>
      </c>
      <c r="B1472" s="71"/>
      <c r="C1472" s="76" t="s">
        <v>196</v>
      </c>
      <c r="D1472" s="76" t="s">
        <v>199</v>
      </c>
      <c r="E1472" s="76" t="s">
        <v>200</v>
      </c>
      <c r="F1472" s="78" t="s">
        <v>201</v>
      </c>
      <c r="G1472" s="209" t="e">
        <f>G1389+G1449+#REF!+G1411+G1350</f>
        <v>#REF!</v>
      </c>
      <c r="H1472" s="152" t="e">
        <f>H1389+H1449+#REF!+H1411+H1350</f>
        <v>#REF!</v>
      </c>
      <c r="I1472" s="152" t="e">
        <f>I1389+I1449+#REF!+I1411+I1350</f>
        <v>#REF!</v>
      </c>
      <c r="J1472" s="209" t="e">
        <f>J1389+J1449+#REF!+J1411+J1350</f>
        <v>#REF!</v>
      </c>
      <c r="K1472" s="299" t="e">
        <f>K1389+K1449+#REF!+K1411+K1350</f>
        <v>#REF!</v>
      </c>
      <c r="L1472" s="319"/>
      <c r="M1472" s="152"/>
      <c r="N1472" s="209"/>
      <c r="O1472" s="209"/>
      <c r="P1472" s="299"/>
      <c r="Q1472" s="448"/>
      <c r="R1472" s="448"/>
      <c r="S1472" s="465" t="e">
        <f t="shared" si="279"/>
        <v>#DIV/0!</v>
      </c>
    </row>
    <row r="1473" spans="1:19" ht="14.25" customHeight="1" hidden="1">
      <c r="A1473" s="46" t="s">
        <v>230</v>
      </c>
      <c r="B1473" s="71"/>
      <c r="C1473" s="76" t="s">
        <v>196</v>
      </c>
      <c r="D1473" s="76" t="s">
        <v>199</v>
      </c>
      <c r="E1473" s="76" t="s">
        <v>200</v>
      </c>
      <c r="F1473" s="78" t="s">
        <v>201</v>
      </c>
      <c r="G1473" s="209" t="e">
        <f>G1391+G1450+G1451+G1452+G1413+G1434+G1351+G1436+G1435+G1437+#REF!+#REF!+G1453</f>
        <v>#REF!</v>
      </c>
      <c r="H1473" s="152" t="e">
        <f>H1391+H1450+H1451+H1452+H1413+H1434+H1351+H1436+H1435+H1437+#REF!+#REF!+H1453</f>
        <v>#REF!</v>
      </c>
      <c r="I1473" s="152" t="e">
        <f>I1391+I1450+I1451+I1452+I1413+I1434+I1351+I1436+I1435+I1437+#REF!+#REF!+I1453</f>
        <v>#REF!</v>
      </c>
      <c r="J1473" s="209" t="e">
        <f>J1391+J1450+J1451+J1452+J1413+J1434+J1351+J1436+J1435+J1437+#REF!+#REF!+J1453</f>
        <v>#REF!</v>
      </c>
      <c r="K1473" s="299" t="e">
        <f>K1391+K1450+K1451+K1452+K1413+K1434+K1351+K1436+K1435+K1437+#REF!+#REF!+K1453</f>
        <v>#REF!</v>
      </c>
      <c r="L1473" s="319"/>
      <c r="M1473" s="152"/>
      <c r="N1473" s="209"/>
      <c r="O1473" s="209"/>
      <c r="P1473" s="299"/>
      <c r="Q1473" s="448"/>
      <c r="R1473" s="448"/>
      <c r="S1473" s="465" t="e">
        <f t="shared" si="279"/>
        <v>#DIV/0!</v>
      </c>
    </row>
    <row r="1474" spans="1:19" ht="14.25" customHeight="1" hidden="1">
      <c r="A1474" s="108" t="s">
        <v>290</v>
      </c>
      <c r="B1474" s="90"/>
      <c r="C1474" s="91"/>
      <c r="D1474" s="91"/>
      <c r="E1474" s="91"/>
      <c r="F1474" s="93"/>
      <c r="G1474" s="209" t="e">
        <f>G1457+G1458+G1459+G1461+G1462+G1463+G1464+G1465+G1466+G1468+G1469+G1470+G1472+G1473</f>
        <v>#REF!</v>
      </c>
      <c r="H1474" s="152" t="e">
        <f>H1457+H1458+H1459+H1461+H1462+H1463+H1464+H1465+H1466+H1468+H1469+H1470+H1472+H1473</f>
        <v>#REF!</v>
      </c>
      <c r="I1474" s="152" t="e">
        <f>I1457+I1458+I1459+I1461+I1462+I1463+I1464+I1465+I1466+I1468+I1469+I1470+I1472+I1473</f>
        <v>#REF!</v>
      </c>
      <c r="J1474" s="209" t="e">
        <f>J1457+J1458+J1459+J1461+J1462+J1463+J1464+J1465+J1466+J1468+J1469+J1470+J1472+J1473</f>
        <v>#REF!</v>
      </c>
      <c r="K1474" s="299" t="e">
        <f>K1457+K1458+K1459+K1461+K1462+K1463+K1464+K1465+K1466+K1468+K1469+K1470+K1472+K1473</f>
        <v>#REF!</v>
      </c>
      <c r="L1474" s="319"/>
      <c r="M1474" s="152"/>
      <c r="N1474" s="209"/>
      <c r="O1474" s="209"/>
      <c r="P1474" s="299"/>
      <c r="Q1474" s="448"/>
      <c r="R1474" s="448"/>
      <c r="S1474" s="465" t="e">
        <f t="shared" si="279"/>
        <v>#DIV/0!</v>
      </c>
    </row>
    <row r="1475" spans="1:19" ht="14.25" customHeight="1" hidden="1">
      <c r="A1475" s="29"/>
      <c r="B1475" s="30"/>
      <c r="C1475" s="79"/>
      <c r="D1475" s="79"/>
      <c r="E1475" s="79"/>
      <c r="F1475" s="81" t="s">
        <v>236</v>
      </c>
      <c r="G1475" s="209"/>
      <c r="H1475" s="152"/>
      <c r="I1475" s="152"/>
      <c r="J1475" s="209"/>
      <c r="K1475" s="299"/>
      <c r="L1475" s="319"/>
      <c r="M1475" s="152"/>
      <c r="N1475" s="209"/>
      <c r="O1475" s="209"/>
      <c r="P1475" s="299"/>
      <c r="Q1475" s="448"/>
      <c r="R1475" s="448"/>
      <c r="S1475" s="465" t="e">
        <f t="shared" si="279"/>
        <v>#DIV/0!</v>
      </c>
    </row>
    <row r="1476" spans="1:19" ht="14.25" customHeight="1" hidden="1">
      <c r="A1476" s="192" t="s">
        <v>109</v>
      </c>
      <c r="B1476" s="141" t="s">
        <v>202</v>
      </c>
      <c r="C1476" s="76" t="s">
        <v>196</v>
      </c>
      <c r="D1476" s="76" t="s">
        <v>253</v>
      </c>
      <c r="E1476" s="76" t="s">
        <v>75</v>
      </c>
      <c r="F1476" s="78" t="s">
        <v>106</v>
      </c>
      <c r="G1476" s="209">
        <v>110</v>
      </c>
      <c r="H1476" s="152">
        <v>120</v>
      </c>
      <c r="I1476" s="152"/>
      <c r="J1476" s="209"/>
      <c r="K1476" s="299">
        <f>G1476+J1476</f>
        <v>110</v>
      </c>
      <c r="L1476" s="319"/>
      <c r="M1476" s="152"/>
      <c r="N1476" s="209"/>
      <c r="O1476" s="209"/>
      <c r="P1476" s="299"/>
      <c r="Q1476" s="448"/>
      <c r="R1476" s="448"/>
      <c r="S1476" s="465" t="e">
        <f t="shared" si="279"/>
        <v>#DIV/0!</v>
      </c>
    </row>
    <row r="1477" spans="1:19" ht="13.5" hidden="1" thickBot="1">
      <c r="A1477" s="29"/>
      <c r="B1477" s="30"/>
      <c r="C1477" s="79"/>
      <c r="D1477" s="79"/>
      <c r="E1477" s="79"/>
      <c r="F1477" s="81" t="s">
        <v>239</v>
      </c>
      <c r="G1477" s="416"/>
      <c r="H1477" s="417"/>
      <c r="I1477" s="417"/>
      <c r="J1477" s="416"/>
      <c r="K1477" s="418"/>
      <c r="L1477" s="419"/>
      <c r="M1477" s="417"/>
      <c r="N1477" s="416"/>
      <c r="O1477" s="416"/>
      <c r="P1477" s="418"/>
      <c r="Q1477" s="448"/>
      <c r="R1477" s="448"/>
      <c r="S1477" s="465" t="e">
        <f t="shared" si="279"/>
        <v>#DIV/0!</v>
      </c>
    </row>
    <row r="1478" spans="1:19" ht="19.5" customHeight="1" thickBot="1">
      <c r="A1478" s="182" t="s">
        <v>495</v>
      </c>
      <c r="B1478" s="24" t="s">
        <v>201</v>
      </c>
      <c r="C1478" s="25" t="s">
        <v>256</v>
      </c>
      <c r="D1478" s="25" t="s">
        <v>199</v>
      </c>
      <c r="E1478" s="25"/>
      <c r="F1478" s="27"/>
      <c r="G1478" s="236">
        <f>G1484+G1479</f>
        <v>1313</v>
      </c>
      <c r="H1478" s="236">
        <f>H1484+H1479</f>
        <v>0</v>
      </c>
      <c r="I1478" s="236">
        <f>I1484+I1479</f>
        <v>0</v>
      </c>
      <c r="J1478" s="236">
        <f>J1484+J1479</f>
        <v>2168</v>
      </c>
      <c r="K1478" s="309">
        <f>K1484+K1479</f>
        <v>3481</v>
      </c>
      <c r="L1478" s="420"/>
      <c r="M1478" s="421"/>
      <c r="N1478" s="236"/>
      <c r="O1478" s="236"/>
      <c r="P1478" s="309"/>
      <c r="Q1478" s="495">
        <f>Q1479</f>
        <v>2475.5</v>
      </c>
      <c r="R1478" s="495">
        <f>R1479</f>
        <v>1931.08039</v>
      </c>
      <c r="S1478" s="496">
        <f t="shared" si="279"/>
        <v>78.0076909715209</v>
      </c>
    </row>
    <row r="1479" spans="1:19" ht="16.5" customHeight="1" thickBot="1">
      <c r="A1479" s="256" t="s">
        <v>496</v>
      </c>
      <c r="B1479" s="33" t="s">
        <v>201</v>
      </c>
      <c r="C1479" s="34" t="s">
        <v>256</v>
      </c>
      <c r="D1479" s="34" t="s">
        <v>198</v>
      </c>
      <c r="E1479" s="34"/>
      <c r="F1479" s="36"/>
      <c r="G1479" s="207">
        <f aca="true" t="shared" si="284" ref="G1479:N1479">G1480+G1484</f>
        <v>656.5</v>
      </c>
      <c r="H1479" s="207">
        <f t="shared" si="284"/>
        <v>0</v>
      </c>
      <c r="I1479" s="207">
        <f t="shared" si="284"/>
        <v>0</v>
      </c>
      <c r="J1479" s="207">
        <f t="shared" si="284"/>
        <v>1834</v>
      </c>
      <c r="K1479" s="302">
        <f t="shared" si="284"/>
        <v>2490.5</v>
      </c>
      <c r="L1479" s="302">
        <f t="shared" si="284"/>
        <v>-15</v>
      </c>
      <c r="M1479" s="302">
        <f t="shared" si="284"/>
        <v>0</v>
      </c>
      <c r="N1479" s="302">
        <f t="shared" si="284"/>
        <v>2475.5</v>
      </c>
      <c r="O1479" s="302">
        <f>O1480+O1484</f>
        <v>0</v>
      </c>
      <c r="P1479" s="302">
        <f>P1480+P1484</f>
        <v>0</v>
      </c>
      <c r="Q1479" s="482">
        <f>Q1480+Q1483</f>
        <v>2475.5</v>
      </c>
      <c r="R1479" s="483">
        <f>R1480+R1483</f>
        <v>1931.08039</v>
      </c>
      <c r="S1479" s="484">
        <f t="shared" si="279"/>
        <v>78.0076909715209</v>
      </c>
    </row>
    <row r="1480" spans="1:19" ht="16.5" customHeight="1">
      <c r="A1480" s="48" t="s">
        <v>497</v>
      </c>
      <c r="B1480" s="33" t="s">
        <v>202</v>
      </c>
      <c r="C1480" s="34" t="s">
        <v>256</v>
      </c>
      <c r="D1480" s="34" t="s">
        <v>198</v>
      </c>
      <c r="E1480" s="34" t="s">
        <v>498</v>
      </c>
      <c r="F1480" s="36"/>
      <c r="G1480" s="207">
        <f aca="true" t="shared" si="285" ref="G1480:R1481">G1481</f>
        <v>0</v>
      </c>
      <c r="H1480" s="207">
        <f t="shared" si="285"/>
        <v>0</v>
      </c>
      <c r="I1480" s="207">
        <f t="shared" si="285"/>
        <v>0</v>
      </c>
      <c r="J1480" s="207">
        <f t="shared" si="285"/>
        <v>1500</v>
      </c>
      <c r="K1480" s="302">
        <f t="shared" si="285"/>
        <v>1500</v>
      </c>
      <c r="L1480" s="302">
        <f t="shared" si="285"/>
        <v>0</v>
      </c>
      <c r="M1480" s="302">
        <f t="shared" si="285"/>
        <v>0</v>
      </c>
      <c r="N1480" s="302">
        <f t="shared" si="285"/>
        <v>1500</v>
      </c>
      <c r="O1480" s="302">
        <f t="shared" si="285"/>
        <v>0</v>
      </c>
      <c r="P1480" s="302">
        <f t="shared" si="285"/>
        <v>0</v>
      </c>
      <c r="Q1480" s="480">
        <f t="shared" si="285"/>
        <v>1500</v>
      </c>
      <c r="R1480" s="480">
        <f t="shared" si="285"/>
        <v>1103</v>
      </c>
      <c r="S1480" s="481">
        <f t="shared" si="279"/>
        <v>73.53333333333333</v>
      </c>
    </row>
    <row r="1481" spans="1:19" ht="16.5" customHeight="1">
      <c r="A1481" s="46" t="s">
        <v>499</v>
      </c>
      <c r="B1481" s="71" t="s">
        <v>202</v>
      </c>
      <c r="C1481" s="72" t="s">
        <v>256</v>
      </c>
      <c r="D1481" s="72" t="s">
        <v>500</v>
      </c>
      <c r="E1481" s="72" t="s">
        <v>20</v>
      </c>
      <c r="F1481" s="74"/>
      <c r="G1481" s="96">
        <f t="shared" si="285"/>
        <v>0</v>
      </c>
      <c r="H1481" s="96">
        <f t="shared" si="285"/>
        <v>0</v>
      </c>
      <c r="I1481" s="96">
        <f t="shared" si="285"/>
        <v>0</v>
      </c>
      <c r="J1481" s="96">
        <f t="shared" si="285"/>
        <v>1500</v>
      </c>
      <c r="K1481" s="287">
        <f t="shared" si="285"/>
        <v>1500</v>
      </c>
      <c r="L1481" s="287">
        <f t="shared" si="285"/>
        <v>0</v>
      </c>
      <c r="M1481" s="287">
        <f t="shared" si="285"/>
        <v>0</v>
      </c>
      <c r="N1481" s="287">
        <f t="shared" si="285"/>
        <v>1500</v>
      </c>
      <c r="O1481" s="287">
        <f t="shared" si="285"/>
        <v>0</v>
      </c>
      <c r="P1481" s="287">
        <f t="shared" si="285"/>
        <v>0</v>
      </c>
      <c r="Q1481" s="449">
        <f t="shared" si="285"/>
        <v>1500</v>
      </c>
      <c r="R1481" s="449">
        <f t="shared" si="285"/>
        <v>1103</v>
      </c>
      <c r="S1481" s="465">
        <f t="shared" si="279"/>
        <v>73.53333333333333</v>
      </c>
    </row>
    <row r="1482" spans="1:19" ht="15.75" customHeight="1" thickBot="1">
      <c r="A1482" s="192" t="s">
        <v>109</v>
      </c>
      <c r="B1482" s="220" t="s">
        <v>202</v>
      </c>
      <c r="C1482" s="79" t="s">
        <v>256</v>
      </c>
      <c r="D1482" s="79" t="s">
        <v>198</v>
      </c>
      <c r="E1482" s="79" t="s">
        <v>20</v>
      </c>
      <c r="F1482" s="81" t="s">
        <v>106</v>
      </c>
      <c r="G1482" s="257"/>
      <c r="H1482" s="359"/>
      <c r="I1482" s="359"/>
      <c r="J1482" s="257">
        <v>1500</v>
      </c>
      <c r="K1482" s="174">
        <f>G1482+J1482</f>
        <v>1500</v>
      </c>
      <c r="L1482" s="331"/>
      <c r="M1482" s="137"/>
      <c r="N1482" s="102">
        <f>K1482+L1482+M1482</f>
        <v>1500</v>
      </c>
      <c r="O1482" s="102"/>
      <c r="P1482" s="280"/>
      <c r="Q1482" s="460">
        <f>N1482+O1482+P1482</f>
        <v>1500</v>
      </c>
      <c r="R1482" s="460">
        <v>1103</v>
      </c>
      <c r="S1482" s="491">
        <f t="shared" si="279"/>
        <v>73.53333333333333</v>
      </c>
    </row>
    <row r="1483" spans="1:19" ht="16.5" customHeight="1">
      <c r="A1483" s="65" t="s">
        <v>291</v>
      </c>
      <c r="B1483" s="66" t="s">
        <v>201</v>
      </c>
      <c r="C1483" s="67" t="s">
        <v>256</v>
      </c>
      <c r="D1483" s="67" t="s">
        <v>198</v>
      </c>
      <c r="E1483" s="67" t="s">
        <v>292</v>
      </c>
      <c r="F1483" s="69"/>
      <c r="G1483" s="414">
        <f aca="true" t="shared" si="286" ref="G1483:N1483">G1484+G1486+G1488+G1494+G1498</f>
        <v>656.5</v>
      </c>
      <c r="H1483" s="414">
        <f t="shared" si="286"/>
        <v>0</v>
      </c>
      <c r="I1483" s="414">
        <f t="shared" si="286"/>
        <v>0</v>
      </c>
      <c r="J1483" s="414">
        <f t="shared" si="286"/>
        <v>334</v>
      </c>
      <c r="K1483" s="415">
        <f t="shared" si="286"/>
        <v>990.5</v>
      </c>
      <c r="L1483" s="415">
        <f t="shared" si="286"/>
        <v>-15</v>
      </c>
      <c r="M1483" s="415">
        <f t="shared" si="286"/>
        <v>0</v>
      </c>
      <c r="N1483" s="415">
        <f t="shared" si="286"/>
        <v>975.5</v>
      </c>
      <c r="O1483" s="415">
        <f>O1484+O1486+O1488+O1494+O1498</f>
        <v>0</v>
      </c>
      <c r="P1483" s="415">
        <f>P1484+P1486+P1488+P1494+P1498</f>
        <v>0</v>
      </c>
      <c r="Q1483" s="471">
        <f>Q1484</f>
        <v>975.5</v>
      </c>
      <c r="R1483" s="472">
        <f>R1484</f>
        <v>828.08039</v>
      </c>
      <c r="S1483" s="473">
        <f t="shared" si="279"/>
        <v>84.88778985135828</v>
      </c>
    </row>
    <row r="1484" spans="1:19" ht="25.5">
      <c r="A1484" s="103" t="s">
        <v>526</v>
      </c>
      <c r="B1484" s="99" t="s">
        <v>201</v>
      </c>
      <c r="C1484" s="112" t="s">
        <v>256</v>
      </c>
      <c r="D1484" s="112" t="s">
        <v>198</v>
      </c>
      <c r="E1484" s="112" t="s">
        <v>490</v>
      </c>
      <c r="F1484" s="104"/>
      <c r="G1484" s="88">
        <f>G1550</f>
        <v>656.5</v>
      </c>
      <c r="H1484" s="55">
        <f aca="true" t="shared" si="287" ref="G1484:K1485">H1485</f>
        <v>0</v>
      </c>
      <c r="I1484" s="55">
        <f t="shared" si="287"/>
        <v>0</v>
      </c>
      <c r="J1484" s="88">
        <f>J1550</f>
        <v>334</v>
      </c>
      <c r="K1484" s="290">
        <f aca="true" t="shared" si="288" ref="K1484:P1484">K1551+K1553</f>
        <v>990.5</v>
      </c>
      <c r="L1484" s="290">
        <f t="shared" si="288"/>
        <v>-15</v>
      </c>
      <c r="M1484" s="290">
        <f t="shared" si="288"/>
        <v>0</v>
      </c>
      <c r="N1484" s="290">
        <f t="shared" si="288"/>
        <v>975.5</v>
      </c>
      <c r="O1484" s="290">
        <f t="shared" si="288"/>
        <v>0</v>
      </c>
      <c r="P1484" s="290">
        <f t="shared" si="288"/>
        <v>0</v>
      </c>
      <c r="Q1484" s="474">
        <f>Q1551+Q1553+Q1552</f>
        <v>975.5</v>
      </c>
      <c r="R1484" s="449">
        <f>R1551+R1553+R1552</f>
        <v>828.08039</v>
      </c>
      <c r="S1484" s="465">
        <f t="shared" si="279"/>
        <v>84.88778985135828</v>
      </c>
    </row>
    <row r="1485" spans="1:19" ht="25.5" hidden="1">
      <c r="A1485" s="46" t="s">
        <v>19</v>
      </c>
      <c r="B1485" s="71" t="s">
        <v>202</v>
      </c>
      <c r="C1485" s="72" t="s">
        <v>256</v>
      </c>
      <c r="D1485" s="72" t="s">
        <v>198</v>
      </c>
      <c r="E1485" s="72" t="s">
        <v>20</v>
      </c>
      <c r="F1485" s="74"/>
      <c r="G1485" s="96">
        <f t="shared" si="287"/>
        <v>0</v>
      </c>
      <c r="H1485" s="75">
        <f t="shared" si="287"/>
        <v>0</v>
      </c>
      <c r="I1485" s="75">
        <f t="shared" si="287"/>
        <v>0</v>
      </c>
      <c r="J1485" s="96">
        <f t="shared" si="287"/>
        <v>0</v>
      </c>
      <c r="K1485" s="287">
        <f t="shared" si="287"/>
        <v>0</v>
      </c>
      <c r="L1485" s="313"/>
      <c r="M1485" s="75"/>
      <c r="N1485" s="96"/>
      <c r="O1485" s="96"/>
      <c r="P1485" s="287"/>
      <c r="Q1485" s="474"/>
      <c r="R1485" s="449"/>
      <c r="S1485" s="465" t="e">
        <f aca="true" t="shared" si="289" ref="S1485:S1548">R1485/Q1485*100</f>
        <v>#DIV/0!</v>
      </c>
    </row>
    <row r="1486" spans="1:19" ht="3" customHeight="1" hidden="1" thickBot="1">
      <c r="A1486" s="45" t="s">
        <v>208</v>
      </c>
      <c r="B1486" s="71" t="s">
        <v>202</v>
      </c>
      <c r="C1486" s="76" t="s">
        <v>256</v>
      </c>
      <c r="D1486" s="76" t="s">
        <v>198</v>
      </c>
      <c r="E1486" s="76" t="s">
        <v>20</v>
      </c>
      <c r="F1486" s="78"/>
      <c r="G1486" s="89">
        <f>G1545+G1546+G1547+G1548+G1549</f>
        <v>0</v>
      </c>
      <c r="H1486" s="82">
        <f>H1545+H1546+H1547+H1548+H1549</f>
        <v>0</v>
      </c>
      <c r="I1486" s="82">
        <f>I1545+I1546+I1547+I1548+I1549</f>
        <v>0</v>
      </c>
      <c r="J1486" s="89">
        <f>J1545+J1546+J1547+J1548+J1549</f>
        <v>0</v>
      </c>
      <c r="K1486" s="275">
        <f>K1545+K1546+K1547+K1548+K1549</f>
        <v>0</v>
      </c>
      <c r="L1486" s="315"/>
      <c r="M1486" s="82"/>
      <c r="N1486" s="89"/>
      <c r="O1486" s="89"/>
      <c r="P1486" s="275"/>
      <c r="Q1486" s="487"/>
      <c r="R1486" s="448"/>
      <c r="S1486" s="465" t="e">
        <f t="shared" si="289"/>
        <v>#DIV/0!</v>
      </c>
    </row>
    <row r="1487" spans="1:19" ht="12.75" hidden="1">
      <c r="A1487" s="46" t="s">
        <v>210</v>
      </c>
      <c r="B1487" s="71" t="s">
        <v>202</v>
      </c>
      <c r="C1487" s="76" t="s">
        <v>256</v>
      </c>
      <c r="D1487" s="76" t="s">
        <v>249</v>
      </c>
      <c r="E1487" s="76" t="s">
        <v>20</v>
      </c>
      <c r="F1487" s="78"/>
      <c r="G1487" s="96">
        <f>G1488+G1491</f>
        <v>0</v>
      </c>
      <c r="H1487" s="75">
        <f>H1488+H1491</f>
        <v>0</v>
      </c>
      <c r="I1487" s="75">
        <f>I1488+I1491</f>
        <v>0</v>
      </c>
      <c r="J1487" s="96">
        <f>J1488+J1491</f>
        <v>0</v>
      </c>
      <c r="K1487" s="287">
        <f>K1488+K1491</f>
        <v>0</v>
      </c>
      <c r="L1487" s="313"/>
      <c r="M1487" s="75"/>
      <c r="N1487" s="96"/>
      <c r="O1487" s="96"/>
      <c r="P1487" s="287"/>
      <c r="Q1487" s="474"/>
      <c r="R1487" s="449"/>
      <c r="S1487" s="465" t="e">
        <f t="shared" si="289"/>
        <v>#DIV/0!</v>
      </c>
    </row>
    <row r="1488" spans="1:19" ht="3" customHeight="1" hidden="1">
      <c r="A1488" s="46" t="s">
        <v>222</v>
      </c>
      <c r="B1488" s="71" t="s">
        <v>202</v>
      </c>
      <c r="C1488" s="76" t="s">
        <v>256</v>
      </c>
      <c r="D1488" s="76" t="s">
        <v>249</v>
      </c>
      <c r="E1488" s="76" t="s">
        <v>20</v>
      </c>
      <c r="F1488" s="78"/>
      <c r="G1488" s="96">
        <f>G1489+G1490</f>
        <v>0</v>
      </c>
      <c r="H1488" s="75">
        <f>H1489+H1490</f>
        <v>0</v>
      </c>
      <c r="I1488" s="75">
        <f>I1489+I1490</f>
        <v>0</v>
      </c>
      <c r="J1488" s="96">
        <f>J1489+J1490</f>
        <v>0</v>
      </c>
      <c r="K1488" s="287">
        <f>K1489+K1490</f>
        <v>0</v>
      </c>
      <c r="L1488" s="313"/>
      <c r="M1488" s="75"/>
      <c r="N1488" s="96"/>
      <c r="O1488" s="96"/>
      <c r="P1488" s="287"/>
      <c r="Q1488" s="474"/>
      <c r="R1488" s="449"/>
      <c r="S1488" s="465" t="e">
        <f t="shared" si="289"/>
        <v>#DIV/0!</v>
      </c>
    </row>
    <row r="1489" spans="1:19" ht="12" customHeight="1" hidden="1">
      <c r="A1489" s="46" t="s">
        <v>224</v>
      </c>
      <c r="B1489" s="71" t="s">
        <v>202</v>
      </c>
      <c r="C1489" s="76" t="s">
        <v>256</v>
      </c>
      <c r="D1489" s="76" t="s">
        <v>249</v>
      </c>
      <c r="E1489" s="76" t="s">
        <v>20</v>
      </c>
      <c r="F1489" s="78"/>
      <c r="G1489" s="96"/>
      <c r="H1489" s="75"/>
      <c r="I1489" s="75"/>
      <c r="J1489" s="96"/>
      <c r="K1489" s="287"/>
      <c r="L1489" s="313"/>
      <c r="M1489" s="75"/>
      <c r="N1489" s="96"/>
      <c r="O1489" s="96"/>
      <c r="P1489" s="287"/>
      <c r="Q1489" s="474"/>
      <c r="R1489" s="449"/>
      <c r="S1489" s="465" t="e">
        <f t="shared" si="289"/>
        <v>#DIV/0!</v>
      </c>
    </row>
    <row r="1490" spans="1:19" ht="12.75" hidden="1">
      <c r="A1490" s="46" t="s">
        <v>226</v>
      </c>
      <c r="B1490" s="71" t="s">
        <v>202</v>
      </c>
      <c r="C1490" s="76" t="s">
        <v>256</v>
      </c>
      <c r="D1490" s="76" t="s">
        <v>249</v>
      </c>
      <c r="E1490" s="76" t="s">
        <v>20</v>
      </c>
      <c r="F1490" s="78"/>
      <c r="G1490" s="96"/>
      <c r="H1490" s="75"/>
      <c r="I1490" s="75"/>
      <c r="J1490" s="96"/>
      <c r="K1490" s="287"/>
      <c r="L1490" s="313"/>
      <c r="M1490" s="75"/>
      <c r="N1490" s="96"/>
      <c r="O1490" s="96"/>
      <c r="P1490" s="287"/>
      <c r="Q1490" s="474"/>
      <c r="R1490" s="449"/>
      <c r="S1490" s="465" t="e">
        <f t="shared" si="289"/>
        <v>#DIV/0!</v>
      </c>
    </row>
    <row r="1491" spans="1:19" ht="12.75" hidden="1">
      <c r="A1491" s="46" t="s">
        <v>227</v>
      </c>
      <c r="B1491" s="71" t="s">
        <v>202</v>
      </c>
      <c r="C1491" s="76" t="s">
        <v>256</v>
      </c>
      <c r="D1491" s="76" t="s">
        <v>249</v>
      </c>
      <c r="E1491" s="76" t="s">
        <v>20</v>
      </c>
      <c r="F1491" s="78"/>
      <c r="G1491" s="96"/>
      <c r="H1491" s="75"/>
      <c r="I1491" s="75"/>
      <c r="J1491" s="96"/>
      <c r="K1491" s="287"/>
      <c r="L1491" s="313"/>
      <c r="M1491" s="75"/>
      <c r="N1491" s="96"/>
      <c r="O1491" s="96"/>
      <c r="P1491" s="287"/>
      <c r="Q1491" s="474"/>
      <c r="R1491" s="449"/>
      <c r="S1491" s="465" t="e">
        <f t="shared" si="289"/>
        <v>#DIV/0!</v>
      </c>
    </row>
    <row r="1492" spans="1:19" ht="12" customHeight="1" hidden="1">
      <c r="A1492" s="46" t="s">
        <v>227</v>
      </c>
      <c r="B1492" s="71" t="s">
        <v>202</v>
      </c>
      <c r="C1492" s="76" t="s">
        <v>256</v>
      </c>
      <c r="D1492" s="76" t="s">
        <v>249</v>
      </c>
      <c r="E1492" s="76" t="s">
        <v>20</v>
      </c>
      <c r="F1492" s="78"/>
      <c r="G1492" s="96"/>
      <c r="H1492" s="75"/>
      <c r="I1492" s="75"/>
      <c r="J1492" s="96"/>
      <c r="K1492" s="287"/>
      <c r="L1492" s="313"/>
      <c r="M1492" s="75"/>
      <c r="N1492" s="96"/>
      <c r="O1492" s="96"/>
      <c r="P1492" s="287"/>
      <c r="Q1492" s="474"/>
      <c r="R1492" s="449"/>
      <c r="S1492" s="465" t="e">
        <f t="shared" si="289"/>
        <v>#DIV/0!</v>
      </c>
    </row>
    <row r="1493" spans="1:19" ht="12.75" hidden="1">
      <c r="A1493" s="46" t="s">
        <v>228</v>
      </c>
      <c r="B1493" s="71" t="s">
        <v>202</v>
      </c>
      <c r="C1493" s="76" t="s">
        <v>256</v>
      </c>
      <c r="D1493" s="76" t="s">
        <v>249</v>
      </c>
      <c r="E1493" s="76" t="s">
        <v>20</v>
      </c>
      <c r="F1493" s="78"/>
      <c r="G1493" s="96">
        <f>G1494+G1495</f>
        <v>0</v>
      </c>
      <c r="H1493" s="75">
        <f>H1494+H1495</f>
        <v>0</v>
      </c>
      <c r="I1493" s="75">
        <f>I1494+I1495</f>
        <v>0</v>
      </c>
      <c r="J1493" s="96">
        <f>J1494+J1495</f>
        <v>0</v>
      </c>
      <c r="K1493" s="287">
        <f>K1494+K1495</f>
        <v>0</v>
      </c>
      <c r="L1493" s="313"/>
      <c r="M1493" s="75"/>
      <c r="N1493" s="96"/>
      <c r="O1493" s="96"/>
      <c r="P1493" s="287"/>
      <c r="Q1493" s="474"/>
      <c r="R1493" s="449"/>
      <c r="S1493" s="465" t="e">
        <f t="shared" si="289"/>
        <v>#DIV/0!</v>
      </c>
    </row>
    <row r="1494" spans="1:19" ht="12" customHeight="1" hidden="1">
      <c r="A1494" s="46" t="s">
        <v>230</v>
      </c>
      <c r="B1494" s="71" t="s">
        <v>202</v>
      </c>
      <c r="C1494" s="76" t="s">
        <v>256</v>
      </c>
      <c r="D1494" s="76" t="s">
        <v>249</v>
      </c>
      <c r="E1494" s="76" t="s">
        <v>20</v>
      </c>
      <c r="F1494" s="78"/>
      <c r="G1494" s="96"/>
      <c r="H1494" s="75"/>
      <c r="I1494" s="75"/>
      <c r="J1494" s="96"/>
      <c r="K1494" s="287"/>
      <c r="L1494" s="313"/>
      <c r="M1494" s="75"/>
      <c r="N1494" s="96"/>
      <c r="O1494" s="96"/>
      <c r="P1494" s="287"/>
      <c r="Q1494" s="474"/>
      <c r="R1494" s="449"/>
      <c r="S1494" s="465" t="e">
        <f t="shared" si="289"/>
        <v>#DIV/0!</v>
      </c>
    </row>
    <row r="1495" spans="1:19" ht="10.5" customHeight="1" hidden="1">
      <c r="A1495" s="46" t="s">
        <v>230</v>
      </c>
      <c r="B1495" s="71" t="s">
        <v>202</v>
      </c>
      <c r="C1495" s="76" t="s">
        <v>256</v>
      </c>
      <c r="D1495" s="76" t="s">
        <v>249</v>
      </c>
      <c r="E1495" s="76" t="s">
        <v>20</v>
      </c>
      <c r="F1495" s="78"/>
      <c r="G1495" s="96"/>
      <c r="H1495" s="75"/>
      <c r="I1495" s="75"/>
      <c r="J1495" s="96"/>
      <c r="K1495" s="287"/>
      <c r="L1495" s="313"/>
      <c r="M1495" s="75"/>
      <c r="N1495" s="96"/>
      <c r="O1495" s="96"/>
      <c r="P1495" s="287"/>
      <c r="Q1495" s="474"/>
      <c r="R1495" s="449"/>
      <c r="S1495" s="465" t="e">
        <f t="shared" si="289"/>
        <v>#DIV/0!</v>
      </c>
    </row>
    <row r="1496" spans="1:19" ht="11.25" customHeight="1" hidden="1">
      <c r="A1496" s="46"/>
      <c r="B1496" s="71"/>
      <c r="C1496" s="72"/>
      <c r="D1496" s="72"/>
      <c r="E1496" s="72"/>
      <c r="F1496" s="74"/>
      <c r="G1496" s="96"/>
      <c r="H1496" s="75"/>
      <c r="I1496" s="75"/>
      <c r="J1496" s="96"/>
      <c r="K1496" s="287"/>
      <c r="L1496" s="313"/>
      <c r="M1496" s="75"/>
      <c r="N1496" s="96"/>
      <c r="O1496" s="96"/>
      <c r="P1496" s="287"/>
      <c r="Q1496" s="474"/>
      <c r="R1496" s="449"/>
      <c r="S1496" s="465" t="e">
        <f t="shared" si="289"/>
        <v>#DIV/0!</v>
      </c>
    </row>
    <row r="1497" spans="1:19" ht="11.25" customHeight="1" hidden="1">
      <c r="A1497" s="46"/>
      <c r="B1497" s="71"/>
      <c r="C1497" s="72"/>
      <c r="D1497" s="72"/>
      <c r="E1497" s="72"/>
      <c r="F1497" s="74"/>
      <c r="G1497" s="96"/>
      <c r="H1497" s="75"/>
      <c r="I1497" s="75"/>
      <c r="J1497" s="96"/>
      <c r="K1497" s="287"/>
      <c r="L1497" s="313"/>
      <c r="M1497" s="75"/>
      <c r="N1497" s="96"/>
      <c r="O1497" s="96"/>
      <c r="P1497" s="287"/>
      <c r="Q1497" s="474"/>
      <c r="R1497" s="449"/>
      <c r="S1497" s="465" t="e">
        <f t="shared" si="289"/>
        <v>#DIV/0!</v>
      </c>
    </row>
    <row r="1498" spans="1:19" ht="11.25" customHeight="1" hidden="1">
      <c r="A1498" s="46"/>
      <c r="B1498" s="71"/>
      <c r="C1498" s="72"/>
      <c r="D1498" s="72"/>
      <c r="E1498" s="72"/>
      <c r="F1498" s="74"/>
      <c r="G1498" s="96"/>
      <c r="H1498" s="75"/>
      <c r="I1498" s="75"/>
      <c r="J1498" s="96"/>
      <c r="K1498" s="287"/>
      <c r="L1498" s="313"/>
      <c r="M1498" s="75"/>
      <c r="N1498" s="96"/>
      <c r="O1498" s="96"/>
      <c r="P1498" s="287"/>
      <c r="Q1498" s="474"/>
      <c r="R1498" s="449"/>
      <c r="S1498" s="465" t="e">
        <f t="shared" si="289"/>
        <v>#DIV/0!</v>
      </c>
    </row>
    <row r="1499" spans="1:19" ht="11.25" customHeight="1" hidden="1">
      <c r="A1499" s="46"/>
      <c r="B1499" s="71"/>
      <c r="C1499" s="72"/>
      <c r="D1499" s="72"/>
      <c r="E1499" s="72"/>
      <c r="F1499" s="74"/>
      <c r="G1499" s="96"/>
      <c r="H1499" s="75"/>
      <c r="I1499" s="75"/>
      <c r="J1499" s="96"/>
      <c r="K1499" s="287"/>
      <c r="L1499" s="313"/>
      <c r="M1499" s="75"/>
      <c r="N1499" s="96"/>
      <c r="O1499" s="96"/>
      <c r="P1499" s="287"/>
      <c r="Q1499" s="474"/>
      <c r="R1499" s="449"/>
      <c r="S1499" s="465" t="e">
        <f t="shared" si="289"/>
        <v>#DIV/0!</v>
      </c>
    </row>
    <row r="1500" spans="1:19" ht="11.25" customHeight="1" hidden="1">
      <c r="A1500" s="46"/>
      <c r="B1500" s="71"/>
      <c r="C1500" s="72"/>
      <c r="D1500" s="72"/>
      <c r="E1500" s="72"/>
      <c r="F1500" s="74"/>
      <c r="G1500" s="96"/>
      <c r="H1500" s="75"/>
      <c r="I1500" s="75"/>
      <c r="J1500" s="96"/>
      <c r="K1500" s="287"/>
      <c r="L1500" s="313"/>
      <c r="M1500" s="75"/>
      <c r="N1500" s="96"/>
      <c r="O1500" s="96"/>
      <c r="P1500" s="287"/>
      <c r="Q1500" s="474"/>
      <c r="R1500" s="449"/>
      <c r="S1500" s="465" t="e">
        <f t="shared" si="289"/>
        <v>#DIV/0!</v>
      </c>
    </row>
    <row r="1501" spans="1:19" ht="11.25" customHeight="1" hidden="1">
      <c r="A1501" s="46"/>
      <c r="B1501" s="71"/>
      <c r="C1501" s="72"/>
      <c r="D1501" s="72"/>
      <c r="E1501" s="72"/>
      <c r="F1501" s="74"/>
      <c r="G1501" s="96"/>
      <c r="H1501" s="75"/>
      <c r="I1501" s="75"/>
      <c r="J1501" s="96"/>
      <c r="K1501" s="287"/>
      <c r="L1501" s="313"/>
      <c r="M1501" s="75"/>
      <c r="N1501" s="96"/>
      <c r="O1501" s="96"/>
      <c r="P1501" s="287"/>
      <c r="Q1501" s="474"/>
      <c r="R1501" s="449"/>
      <c r="S1501" s="465" t="e">
        <f t="shared" si="289"/>
        <v>#DIV/0!</v>
      </c>
    </row>
    <row r="1502" spans="1:19" ht="11.25" customHeight="1" hidden="1">
      <c r="A1502" s="46"/>
      <c r="B1502" s="71"/>
      <c r="C1502" s="72"/>
      <c r="D1502" s="72"/>
      <c r="E1502" s="72"/>
      <c r="F1502" s="74"/>
      <c r="G1502" s="96"/>
      <c r="H1502" s="75"/>
      <c r="I1502" s="75"/>
      <c r="J1502" s="96"/>
      <c r="K1502" s="287"/>
      <c r="L1502" s="313"/>
      <c r="M1502" s="75"/>
      <c r="N1502" s="96"/>
      <c r="O1502" s="96"/>
      <c r="P1502" s="287"/>
      <c r="Q1502" s="474"/>
      <c r="R1502" s="449"/>
      <c r="S1502" s="465" t="e">
        <f t="shared" si="289"/>
        <v>#DIV/0!</v>
      </c>
    </row>
    <row r="1503" spans="1:19" ht="11.25" customHeight="1" hidden="1">
      <c r="A1503" s="46"/>
      <c r="B1503" s="71"/>
      <c r="C1503" s="76"/>
      <c r="D1503" s="76"/>
      <c r="E1503" s="76"/>
      <c r="F1503" s="78"/>
      <c r="G1503" s="96"/>
      <c r="H1503" s="75"/>
      <c r="I1503" s="75"/>
      <c r="J1503" s="96"/>
      <c r="K1503" s="287"/>
      <c r="L1503" s="313"/>
      <c r="M1503" s="75"/>
      <c r="N1503" s="96"/>
      <c r="O1503" s="96"/>
      <c r="P1503" s="287"/>
      <c r="Q1503" s="474"/>
      <c r="R1503" s="449"/>
      <c r="S1503" s="465" t="e">
        <f t="shared" si="289"/>
        <v>#DIV/0!</v>
      </c>
    </row>
    <row r="1504" spans="1:19" ht="11.25" customHeight="1" hidden="1">
      <c r="A1504" s="46"/>
      <c r="B1504" s="71"/>
      <c r="C1504" s="76"/>
      <c r="D1504" s="76"/>
      <c r="E1504" s="76"/>
      <c r="F1504" s="78"/>
      <c r="G1504" s="96"/>
      <c r="H1504" s="75"/>
      <c r="I1504" s="75"/>
      <c r="J1504" s="96"/>
      <c r="K1504" s="287"/>
      <c r="L1504" s="313"/>
      <c r="M1504" s="75"/>
      <c r="N1504" s="96"/>
      <c r="O1504" s="96"/>
      <c r="P1504" s="287"/>
      <c r="Q1504" s="474"/>
      <c r="R1504" s="449"/>
      <c r="S1504" s="465" t="e">
        <f t="shared" si="289"/>
        <v>#DIV/0!</v>
      </c>
    </row>
    <row r="1505" spans="1:19" ht="11.25" customHeight="1" hidden="1">
      <c r="A1505" s="46"/>
      <c r="B1505" s="71"/>
      <c r="C1505" s="76"/>
      <c r="D1505" s="76"/>
      <c r="E1505" s="76"/>
      <c r="F1505" s="78"/>
      <c r="G1505" s="96"/>
      <c r="H1505" s="75"/>
      <c r="I1505" s="75"/>
      <c r="J1505" s="96"/>
      <c r="K1505" s="287"/>
      <c r="L1505" s="313"/>
      <c r="M1505" s="75"/>
      <c r="N1505" s="96"/>
      <c r="O1505" s="96"/>
      <c r="P1505" s="287"/>
      <c r="Q1505" s="474"/>
      <c r="R1505" s="449"/>
      <c r="S1505" s="465" t="e">
        <f t="shared" si="289"/>
        <v>#DIV/0!</v>
      </c>
    </row>
    <row r="1506" spans="1:19" ht="11.25" customHeight="1" hidden="1">
      <c r="A1506" s="46"/>
      <c r="B1506" s="71"/>
      <c r="C1506" s="76"/>
      <c r="D1506" s="76"/>
      <c r="E1506" s="76"/>
      <c r="F1506" s="78"/>
      <c r="G1506" s="96"/>
      <c r="H1506" s="75"/>
      <c r="I1506" s="75"/>
      <c r="J1506" s="96"/>
      <c r="K1506" s="287"/>
      <c r="L1506" s="313"/>
      <c r="M1506" s="75"/>
      <c r="N1506" s="96"/>
      <c r="O1506" s="96"/>
      <c r="P1506" s="287"/>
      <c r="Q1506" s="474"/>
      <c r="R1506" s="449"/>
      <c r="S1506" s="465" t="e">
        <f t="shared" si="289"/>
        <v>#DIV/0!</v>
      </c>
    </row>
    <row r="1507" spans="1:19" ht="11.25" customHeight="1" hidden="1">
      <c r="A1507" s="46"/>
      <c r="B1507" s="71"/>
      <c r="C1507" s="76"/>
      <c r="D1507" s="76"/>
      <c r="E1507" s="76"/>
      <c r="F1507" s="78"/>
      <c r="G1507" s="96"/>
      <c r="H1507" s="75"/>
      <c r="I1507" s="75"/>
      <c r="J1507" s="96"/>
      <c r="K1507" s="287"/>
      <c r="L1507" s="313"/>
      <c r="M1507" s="75"/>
      <c r="N1507" s="96"/>
      <c r="O1507" s="96"/>
      <c r="P1507" s="287"/>
      <c r="Q1507" s="474"/>
      <c r="R1507" s="449"/>
      <c r="S1507" s="465" t="e">
        <f t="shared" si="289"/>
        <v>#DIV/0!</v>
      </c>
    </row>
    <row r="1508" spans="1:19" ht="11.25" customHeight="1" hidden="1">
      <c r="A1508" s="46"/>
      <c r="B1508" s="71"/>
      <c r="C1508" s="76"/>
      <c r="D1508" s="76"/>
      <c r="E1508" s="76"/>
      <c r="F1508" s="78"/>
      <c r="G1508" s="96"/>
      <c r="H1508" s="75"/>
      <c r="I1508" s="75"/>
      <c r="J1508" s="96"/>
      <c r="K1508" s="287"/>
      <c r="L1508" s="313"/>
      <c r="M1508" s="75"/>
      <c r="N1508" s="96"/>
      <c r="O1508" s="96"/>
      <c r="P1508" s="287"/>
      <c r="Q1508" s="474"/>
      <c r="R1508" s="449"/>
      <c r="S1508" s="465" t="e">
        <f t="shared" si="289"/>
        <v>#DIV/0!</v>
      </c>
    </row>
    <row r="1509" spans="1:19" ht="11.25" customHeight="1" hidden="1">
      <c r="A1509" s="46"/>
      <c r="B1509" s="71"/>
      <c r="C1509" s="72"/>
      <c r="D1509" s="72"/>
      <c r="E1509" s="167"/>
      <c r="F1509" s="74"/>
      <c r="G1509" s="96"/>
      <c r="H1509" s="75"/>
      <c r="I1509" s="75"/>
      <c r="J1509" s="96"/>
      <c r="K1509" s="287"/>
      <c r="L1509" s="313"/>
      <c r="M1509" s="75"/>
      <c r="N1509" s="96"/>
      <c r="O1509" s="96"/>
      <c r="P1509" s="287"/>
      <c r="Q1509" s="474"/>
      <c r="R1509" s="449"/>
      <c r="S1509" s="465" t="e">
        <f t="shared" si="289"/>
        <v>#DIV/0!</v>
      </c>
    </row>
    <row r="1510" spans="1:19" ht="11.25" customHeight="1" hidden="1">
      <c r="A1510" s="45"/>
      <c r="B1510" s="71"/>
      <c r="C1510" s="72"/>
      <c r="D1510" s="72"/>
      <c r="E1510" s="167"/>
      <c r="F1510" s="74"/>
      <c r="G1510" s="96"/>
      <c r="H1510" s="75"/>
      <c r="I1510" s="75"/>
      <c r="J1510" s="96"/>
      <c r="K1510" s="287"/>
      <c r="L1510" s="313"/>
      <c r="M1510" s="75"/>
      <c r="N1510" s="96"/>
      <c r="O1510" s="96"/>
      <c r="P1510" s="287"/>
      <c r="Q1510" s="474"/>
      <c r="R1510" s="449"/>
      <c r="S1510" s="465" t="e">
        <f t="shared" si="289"/>
        <v>#DIV/0!</v>
      </c>
    </row>
    <row r="1511" spans="1:19" ht="11.25" customHeight="1" hidden="1">
      <c r="A1511" s="45"/>
      <c r="B1511" s="71"/>
      <c r="C1511" s="76"/>
      <c r="D1511" s="76"/>
      <c r="E1511" s="168"/>
      <c r="F1511" s="78"/>
      <c r="G1511" s="96"/>
      <c r="H1511" s="75"/>
      <c r="I1511" s="75"/>
      <c r="J1511" s="96"/>
      <c r="K1511" s="287"/>
      <c r="L1511" s="313"/>
      <c r="M1511" s="75"/>
      <c r="N1511" s="96"/>
      <c r="O1511" s="96"/>
      <c r="P1511" s="287"/>
      <c r="Q1511" s="474"/>
      <c r="R1511" s="449"/>
      <c r="S1511" s="465" t="e">
        <f t="shared" si="289"/>
        <v>#DIV/0!</v>
      </c>
    </row>
    <row r="1512" spans="1:19" ht="11.25" customHeight="1" hidden="1">
      <c r="A1512" s="45"/>
      <c r="B1512" s="71"/>
      <c r="C1512" s="76"/>
      <c r="D1512" s="76"/>
      <c r="E1512" s="168"/>
      <c r="F1512" s="78"/>
      <c r="G1512" s="96"/>
      <c r="H1512" s="75"/>
      <c r="I1512" s="75"/>
      <c r="J1512" s="96"/>
      <c r="K1512" s="287"/>
      <c r="L1512" s="313"/>
      <c r="M1512" s="75"/>
      <c r="N1512" s="96"/>
      <c r="O1512" s="96"/>
      <c r="P1512" s="287"/>
      <c r="Q1512" s="474"/>
      <c r="R1512" s="449"/>
      <c r="S1512" s="465" t="e">
        <f t="shared" si="289"/>
        <v>#DIV/0!</v>
      </c>
    </row>
    <row r="1513" spans="1:19" ht="11.25" customHeight="1" hidden="1">
      <c r="A1513" s="45"/>
      <c r="B1513" s="71"/>
      <c r="C1513" s="76"/>
      <c r="D1513" s="76"/>
      <c r="E1513" s="168"/>
      <c r="F1513" s="78"/>
      <c r="G1513" s="96"/>
      <c r="H1513" s="75"/>
      <c r="I1513" s="75"/>
      <c r="J1513" s="96"/>
      <c r="K1513" s="287"/>
      <c r="L1513" s="313"/>
      <c r="M1513" s="75"/>
      <c r="N1513" s="96"/>
      <c r="O1513" s="96"/>
      <c r="P1513" s="287"/>
      <c r="Q1513" s="474"/>
      <c r="R1513" s="449"/>
      <c r="S1513" s="465" t="e">
        <f t="shared" si="289"/>
        <v>#DIV/0!</v>
      </c>
    </row>
    <row r="1514" spans="1:19" ht="11.25" customHeight="1" hidden="1">
      <c r="A1514" s="142"/>
      <c r="B1514" s="71"/>
      <c r="C1514" s="76"/>
      <c r="D1514" s="76"/>
      <c r="E1514" s="168"/>
      <c r="F1514" s="78"/>
      <c r="G1514" s="96"/>
      <c r="H1514" s="75"/>
      <c r="I1514" s="75"/>
      <c r="J1514" s="96"/>
      <c r="K1514" s="287"/>
      <c r="L1514" s="313"/>
      <c r="M1514" s="75"/>
      <c r="N1514" s="96"/>
      <c r="O1514" s="96"/>
      <c r="P1514" s="287"/>
      <c r="Q1514" s="474"/>
      <c r="R1514" s="449"/>
      <c r="S1514" s="465" t="e">
        <f t="shared" si="289"/>
        <v>#DIV/0!</v>
      </c>
    </row>
    <row r="1515" spans="1:19" ht="11.25" customHeight="1" hidden="1">
      <c r="A1515" s="46"/>
      <c r="B1515" s="71"/>
      <c r="C1515" s="76"/>
      <c r="D1515" s="76"/>
      <c r="E1515" s="169"/>
      <c r="F1515" s="78"/>
      <c r="G1515" s="96"/>
      <c r="H1515" s="75"/>
      <c r="I1515" s="75"/>
      <c r="J1515" s="96"/>
      <c r="K1515" s="287"/>
      <c r="L1515" s="313"/>
      <c r="M1515" s="75"/>
      <c r="N1515" s="96"/>
      <c r="O1515" s="96"/>
      <c r="P1515" s="287"/>
      <c r="Q1515" s="474"/>
      <c r="R1515" s="449"/>
      <c r="S1515" s="465" t="e">
        <f t="shared" si="289"/>
        <v>#DIV/0!</v>
      </c>
    </row>
    <row r="1516" spans="1:19" ht="11.25" customHeight="1" hidden="1">
      <c r="A1516" s="46"/>
      <c r="B1516" s="71"/>
      <c r="C1516" s="76"/>
      <c r="D1516" s="76"/>
      <c r="E1516" s="168"/>
      <c r="F1516" s="78"/>
      <c r="G1516" s="96"/>
      <c r="H1516" s="75"/>
      <c r="I1516" s="75"/>
      <c r="J1516" s="96"/>
      <c r="K1516" s="287"/>
      <c r="L1516" s="313"/>
      <c r="M1516" s="75"/>
      <c r="N1516" s="96"/>
      <c r="O1516" s="96"/>
      <c r="P1516" s="287"/>
      <c r="Q1516" s="474"/>
      <c r="R1516" s="449"/>
      <c r="S1516" s="465" t="e">
        <f t="shared" si="289"/>
        <v>#DIV/0!</v>
      </c>
    </row>
    <row r="1517" spans="1:19" ht="11.25" customHeight="1" hidden="1">
      <c r="A1517" s="46"/>
      <c r="B1517" s="71"/>
      <c r="C1517" s="76"/>
      <c r="D1517" s="76"/>
      <c r="E1517" s="168"/>
      <c r="F1517" s="78"/>
      <c r="G1517" s="96"/>
      <c r="H1517" s="75"/>
      <c r="I1517" s="75"/>
      <c r="J1517" s="96"/>
      <c r="K1517" s="287"/>
      <c r="L1517" s="313"/>
      <c r="M1517" s="75"/>
      <c r="N1517" s="96"/>
      <c r="O1517" s="96"/>
      <c r="P1517" s="287"/>
      <c r="Q1517" s="474"/>
      <c r="R1517" s="449"/>
      <c r="S1517" s="465" t="e">
        <f t="shared" si="289"/>
        <v>#DIV/0!</v>
      </c>
    </row>
    <row r="1518" spans="1:19" ht="11.25" customHeight="1" hidden="1">
      <c r="A1518" s="46"/>
      <c r="B1518" s="71"/>
      <c r="C1518" s="76"/>
      <c r="D1518" s="76"/>
      <c r="E1518" s="168"/>
      <c r="F1518" s="78"/>
      <c r="G1518" s="96"/>
      <c r="H1518" s="75"/>
      <c r="I1518" s="75"/>
      <c r="J1518" s="96"/>
      <c r="K1518" s="287"/>
      <c r="L1518" s="313"/>
      <c r="M1518" s="75"/>
      <c r="N1518" s="96"/>
      <c r="O1518" s="96"/>
      <c r="P1518" s="287"/>
      <c r="Q1518" s="474"/>
      <c r="R1518" s="449"/>
      <c r="S1518" s="465" t="e">
        <f t="shared" si="289"/>
        <v>#DIV/0!</v>
      </c>
    </row>
    <row r="1519" spans="1:19" ht="11.25" customHeight="1" hidden="1">
      <c r="A1519" s="46"/>
      <c r="B1519" s="71"/>
      <c r="C1519" s="76"/>
      <c r="D1519" s="76"/>
      <c r="E1519" s="168"/>
      <c r="F1519" s="78"/>
      <c r="G1519" s="96"/>
      <c r="H1519" s="75"/>
      <c r="I1519" s="75"/>
      <c r="J1519" s="96"/>
      <c r="K1519" s="287"/>
      <c r="L1519" s="313"/>
      <c r="M1519" s="75"/>
      <c r="N1519" s="96"/>
      <c r="O1519" s="96"/>
      <c r="P1519" s="287"/>
      <c r="Q1519" s="474"/>
      <c r="R1519" s="449"/>
      <c r="S1519" s="465" t="e">
        <f t="shared" si="289"/>
        <v>#DIV/0!</v>
      </c>
    </row>
    <row r="1520" spans="1:19" ht="11.25" customHeight="1" hidden="1">
      <c r="A1520" s="46"/>
      <c r="B1520" s="71"/>
      <c r="C1520" s="76"/>
      <c r="D1520" s="76"/>
      <c r="E1520" s="168"/>
      <c r="F1520" s="78"/>
      <c r="G1520" s="96"/>
      <c r="H1520" s="75"/>
      <c r="I1520" s="75"/>
      <c r="J1520" s="96"/>
      <c r="K1520" s="287"/>
      <c r="L1520" s="313"/>
      <c r="M1520" s="75"/>
      <c r="N1520" s="96"/>
      <c r="O1520" s="96"/>
      <c r="P1520" s="287"/>
      <c r="Q1520" s="474"/>
      <c r="R1520" s="449"/>
      <c r="S1520" s="465" t="e">
        <f t="shared" si="289"/>
        <v>#DIV/0!</v>
      </c>
    </row>
    <row r="1521" spans="1:19" ht="11.25" customHeight="1" hidden="1">
      <c r="A1521" s="46"/>
      <c r="B1521" s="71"/>
      <c r="C1521" s="76"/>
      <c r="D1521" s="76"/>
      <c r="E1521" s="168"/>
      <c r="F1521" s="78"/>
      <c r="G1521" s="96"/>
      <c r="H1521" s="75"/>
      <c r="I1521" s="75"/>
      <c r="J1521" s="96"/>
      <c r="K1521" s="287"/>
      <c r="L1521" s="313"/>
      <c r="M1521" s="75"/>
      <c r="N1521" s="96"/>
      <c r="O1521" s="96"/>
      <c r="P1521" s="287"/>
      <c r="Q1521" s="474"/>
      <c r="R1521" s="449"/>
      <c r="S1521" s="465" t="e">
        <f t="shared" si="289"/>
        <v>#DIV/0!</v>
      </c>
    </row>
    <row r="1522" spans="1:19" ht="11.25" customHeight="1" hidden="1">
      <c r="A1522" s="46"/>
      <c r="B1522" s="71"/>
      <c r="C1522" s="76"/>
      <c r="D1522" s="76"/>
      <c r="E1522" s="168"/>
      <c r="F1522" s="78"/>
      <c r="G1522" s="96"/>
      <c r="H1522" s="75"/>
      <c r="I1522" s="75"/>
      <c r="J1522" s="96"/>
      <c r="K1522" s="287"/>
      <c r="L1522" s="313"/>
      <c r="M1522" s="75"/>
      <c r="N1522" s="96"/>
      <c r="O1522" s="96"/>
      <c r="P1522" s="287"/>
      <c r="Q1522" s="474"/>
      <c r="R1522" s="449"/>
      <c r="S1522" s="465" t="e">
        <f t="shared" si="289"/>
        <v>#DIV/0!</v>
      </c>
    </row>
    <row r="1523" spans="1:19" ht="11.25" customHeight="1" hidden="1">
      <c r="A1523" s="46"/>
      <c r="B1523" s="71"/>
      <c r="C1523" s="76"/>
      <c r="D1523" s="76"/>
      <c r="E1523" s="168"/>
      <c r="F1523" s="78"/>
      <c r="G1523" s="96"/>
      <c r="H1523" s="75"/>
      <c r="I1523" s="75"/>
      <c r="J1523" s="96"/>
      <c r="K1523" s="287"/>
      <c r="L1523" s="313"/>
      <c r="M1523" s="75"/>
      <c r="N1523" s="96"/>
      <c r="O1523" s="96"/>
      <c r="P1523" s="287"/>
      <c r="Q1523" s="474"/>
      <c r="R1523" s="449"/>
      <c r="S1523" s="465" t="e">
        <f t="shared" si="289"/>
        <v>#DIV/0!</v>
      </c>
    </row>
    <row r="1524" spans="1:19" ht="11.25" customHeight="1" hidden="1">
      <c r="A1524" s="46" t="s">
        <v>80</v>
      </c>
      <c r="B1524" s="71"/>
      <c r="C1524" s="72" t="s">
        <v>256</v>
      </c>
      <c r="D1524" s="72" t="s">
        <v>199</v>
      </c>
      <c r="E1524" s="72" t="s">
        <v>200</v>
      </c>
      <c r="F1524" s="74"/>
      <c r="G1524" s="202">
        <f>G1525+G1541</f>
        <v>0</v>
      </c>
      <c r="H1524" s="114">
        <f>H1525+H1541</f>
        <v>0</v>
      </c>
      <c r="I1524" s="114">
        <f>I1525+I1541</f>
        <v>0</v>
      </c>
      <c r="J1524" s="202">
        <f>J1525+J1541</f>
        <v>0</v>
      </c>
      <c r="K1524" s="293">
        <f>K1525+K1541</f>
        <v>0</v>
      </c>
      <c r="L1524" s="317"/>
      <c r="M1524" s="114"/>
      <c r="N1524" s="202"/>
      <c r="O1524" s="202"/>
      <c r="P1524" s="293"/>
      <c r="Q1524" s="521"/>
      <c r="R1524" s="458"/>
      <c r="S1524" s="465" t="e">
        <f t="shared" si="289"/>
        <v>#DIV/0!</v>
      </c>
    </row>
    <row r="1525" spans="1:19" ht="0.75" customHeight="1" hidden="1">
      <c r="A1525" s="46" t="s">
        <v>210</v>
      </c>
      <c r="B1525" s="71"/>
      <c r="C1525" s="72" t="s">
        <v>256</v>
      </c>
      <c r="D1525" s="72" t="s">
        <v>199</v>
      </c>
      <c r="E1525" s="72" t="s">
        <v>200</v>
      </c>
      <c r="F1525" s="74"/>
      <c r="G1525" s="96">
        <f>G1526+G1530+G1537+G1540</f>
        <v>0</v>
      </c>
      <c r="H1525" s="75">
        <f>H1526+H1530+H1537+H1540</f>
        <v>0</v>
      </c>
      <c r="I1525" s="75">
        <f>I1526+I1530+I1537+I1540</f>
        <v>0</v>
      </c>
      <c r="J1525" s="96">
        <f>J1526+J1530+J1537+J1540</f>
        <v>0</v>
      </c>
      <c r="K1525" s="287">
        <f>K1526+K1530+K1537+K1540</f>
        <v>0</v>
      </c>
      <c r="L1525" s="313"/>
      <c r="M1525" s="75"/>
      <c r="N1525" s="96"/>
      <c r="O1525" s="96"/>
      <c r="P1525" s="287"/>
      <c r="Q1525" s="474"/>
      <c r="R1525" s="449"/>
      <c r="S1525" s="465" t="e">
        <f t="shared" si="289"/>
        <v>#DIV/0!</v>
      </c>
    </row>
    <row r="1526" spans="1:19" ht="10.5" customHeight="1" hidden="1">
      <c r="A1526" s="46" t="s">
        <v>211</v>
      </c>
      <c r="B1526" s="71"/>
      <c r="C1526" s="72" t="s">
        <v>256</v>
      </c>
      <c r="D1526" s="72" t="s">
        <v>199</v>
      </c>
      <c r="E1526" s="72" t="s">
        <v>200</v>
      </c>
      <c r="F1526" s="74"/>
      <c r="G1526" s="96">
        <f>SUM(G1527:G1529)</f>
        <v>0</v>
      </c>
      <c r="H1526" s="75">
        <f>SUM(H1527:H1529)</f>
        <v>0</v>
      </c>
      <c r="I1526" s="75">
        <f>SUM(I1527:I1529)</f>
        <v>0</v>
      </c>
      <c r="J1526" s="96">
        <f>SUM(J1527:J1529)</f>
        <v>0</v>
      </c>
      <c r="K1526" s="287">
        <f>SUM(K1527:K1529)</f>
        <v>0</v>
      </c>
      <c r="L1526" s="313"/>
      <c r="M1526" s="75"/>
      <c r="N1526" s="96"/>
      <c r="O1526" s="96"/>
      <c r="P1526" s="287"/>
      <c r="Q1526" s="474"/>
      <c r="R1526" s="449"/>
      <c r="S1526" s="465" t="e">
        <f t="shared" si="289"/>
        <v>#DIV/0!</v>
      </c>
    </row>
    <row r="1527" spans="1:19" ht="10.5" customHeight="1" hidden="1">
      <c r="A1527" s="46" t="s">
        <v>212</v>
      </c>
      <c r="B1527" s="71"/>
      <c r="C1527" s="72" t="s">
        <v>256</v>
      </c>
      <c r="D1527" s="72" t="s">
        <v>199</v>
      </c>
      <c r="E1527" s="72" t="s">
        <v>200</v>
      </c>
      <c r="F1527" s="74"/>
      <c r="G1527" s="96"/>
      <c r="H1527" s="75"/>
      <c r="I1527" s="75"/>
      <c r="J1527" s="96"/>
      <c r="K1527" s="287"/>
      <c r="L1527" s="313"/>
      <c r="M1527" s="75"/>
      <c r="N1527" s="96"/>
      <c r="O1527" s="96"/>
      <c r="P1527" s="287"/>
      <c r="Q1527" s="474"/>
      <c r="R1527" s="449"/>
      <c r="S1527" s="465" t="e">
        <f t="shared" si="289"/>
        <v>#DIV/0!</v>
      </c>
    </row>
    <row r="1528" spans="1:19" ht="10.5" customHeight="1" hidden="1">
      <c r="A1528" s="46" t="s">
        <v>213</v>
      </c>
      <c r="B1528" s="71"/>
      <c r="C1528" s="72" t="s">
        <v>256</v>
      </c>
      <c r="D1528" s="72" t="s">
        <v>199</v>
      </c>
      <c r="E1528" s="72" t="s">
        <v>200</v>
      </c>
      <c r="F1528" s="74"/>
      <c r="G1528" s="96"/>
      <c r="H1528" s="75"/>
      <c r="I1528" s="75"/>
      <c r="J1528" s="96"/>
      <c r="K1528" s="287"/>
      <c r="L1528" s="313"/>
      <c r="M1528" s="75"/>
      <c r="N1528" s="96"/>
      <c r="O1528" s="96"/>
      <c r="P1528" s="287"/>
      <c r="Q1528" s="474"/>
      <c r="R1528" s="449"/>
      <c r="S1528" s="465" t="e">
        <f t="shared" si="289"/>
        <v>#DIV/0!</v>
      </c>
    </row>
    <row r="1529" spans="1:19" ht="10.5" customHeight="1" hidden="1">
      <c r="A1529" s="46" t="s">
        <v>214</v>
      </c>
      <c r="B1529" s="71"/>
      <c r="C1529" s="72" t="s">
        <v>256</v>
      </c>
      <c r="D1529" s="72" t="s">
        <v>199</v>
      </c>
      <c r="E1529" s="72" t="s">
        <v>200</v>
      </c>
      <c r="F1529" s="74"/>
      <c r="G1529" s="96"/>
      <c r="H1529" s="75"/>
      <c r="I1529" s="75"/>
      <c r="J1529" s="96"/>
      <c r="K1529" s="287"/>
      <c r="L1529" s="313"/>
      <c r="M1529" s="75"/>
      <c r="N1529" s="96"/>
      <c r="O1529" s="96"/>
      <c r="P1529" s="287"/>
      <c r="Q1529" s="474"/>
      <c r="R1529" s="449"/>
      <c r="S1529" s="465" t="e">
        <f t="shared" si="289"/>
        <v>#DIV/0!</v>
      </c>
    </row>
    <row r="1530" spans="1:19" ht="10.5" customHeight="1" hidden="1">
      <c r="A1530" s="46" t="s">
        <v>222</v>
      </c>
      <c r="B1530" s="71"/>
      <c r="C1530" s="72" t="s">
        <v>256</v>
      </c>
      <c r="D1530" s="72" t="s">
        <v>199</v>
      </c>
      <c r="E1530" s="72" t="s">
        <v>200</v>
      </c>
      <c r="F1530" s="74"/>
      <c r="G1530" s="96">
        <f>SUM(G1531:G1536)</f>
        <v>0</v>
      </c>
      <c r="H1530" s="75">
        <f>SUM(H1531:H1536)</f>
        <v>0</v>
      </c>
      <c r="I1530" s="75">
        <f>SUM(I1531:I1536)</f>
        <v>0</v>
      </c>
      <c r="J1530" s="96">
        <f>SUM(J1531:J1536)</f>
        <v>0</v>
      </c>
      <c r="K1530" s="287">
        <f>SUM(K1531:K1536)</f>
        <v>0</v>
      </c>
      <c r="L1530" s="313"/>
      <c r="M1530" s="75"/>
      <c r="N1530" s="96"/>
      <c r="O1530" s="96"/>
      <c r="P1530" s="287"/>
      <c r="Q1530" s="474"/>
      <c r="R1530" s="449"/>
      <c r="S1530" s="465" t="e">
        <f t="shared" si="289"/>
        <v>#DIV/0!</v>
      </c>
    </row>
    <row r="1531" spans="1:19" ht="14.25" customHeight="1" hidden="1">
      <c r="A1531" s="46" t="s">
        <v>223</v>
      </c>
      <c r="B1531" s="71"/>
      <c r="C1531" s="72" t="s">
        <v>256</v>
      </c>
      <c r="D1531" s="72" t="s">
        <v>199</v>
      </c>
      <c r="E1531" s="72" t="s">
        <v>200</v>
      </c>
      <c r="F1531" s="74"/>
      <c r="G1531" s="96"/>
      <c r="H1531" s="75"/>
      <c r="I1531" s="75"/>
      <c r="J1531" s="96"/>
      <c r="K1531" s="287"/>
      <c r="L1531" s="313"/>
      <c r="M1531" s="75"/>
      <c r="N1531" s="96"/>
      <c r="O1531" s="96"/>
      <c r="P1531" s="287"/>
      <c r="Q1531" s="474"/>
      <c r="R1531" s="449"/>
      <c r="S1531" s="465" t="e">
        <f t="shared" si="289"/>
        <v>#DIV/0!</v>
      </c>
    </row>
    <row r="1532" spans="1:19" ht="12.75" hidden="1">
      <c r="A1532" s="46" t="s">
        <v>224</v>
      </c>
      <c r="B1532" s="71"/>
      <c r="C1532" s="72" t="s">
        <v>256</v>
      </c>
      <c r="D1532" s="72" t="s">
        <v>199</v>
      </c>
      <c r="E1532" s="72" t="s">
        <v>200</v>
      </c>
      <c r="F1532" s="74"/>
      <c r="G1532" s="96">
        <f>G1489</f>
        <v>0</v>
      </c>
      <c r="H1532" s="75">
        <f>H1489</f>
        <v>0</v>
      </c>
      <c r="I1532" s="75">
        <f>I1489</f>
        <v>0</v>
      </c>
      <c r="J1532" s="96">
        <f>J1489</f>
        <v>0</v>
      </c>
      <c r="K1532" s="287">
        <f>K1489</f>
        <v>0</v>
      </c>
      <c r="L1532" s="313"/>
      <c r="M1532" s="75"/>
      <c r="N1532" s="96"/>
      <c r="O1532" s="96"/>
      <c r="P1532" s="287"/>
      <c r="Q1532" s="474"/>
      <c r="R1532" s="449"/>
      <c r="S1532" s="465" t="e">
        <f t="shared" si="289"/>
        <v>#DIV/0!</v>
      </c>
    </row>
    <row r="1533" spans="1:19" ht="12.75" hidden="1">
      <c r="A1533" s="46" t="s">
        <v>242</v>
      </c>
      <c r="B1533" s="71"/>
      <c r="C1533" s="72" t="s">
        <v>256</v>
      </c>
      <c r="D1533" s="72" t="s">
        <v>199</v>
      </c>
      <c r="E1533" s="72" t="s">
        <v>200</v>
      </c>
      <c r="F1533" s="74"/>
      <c r="G1533" s="96"/>
      <c r="H1533" s="75"/>
      <c r="I1533" s="75"/>
      <c r="J1533" s="96"/>
      <c r="K1533" s="287"/>
      <c r="L1533" s="313"/>
      <c r="M1533" s="75"/>
      <c r="N1533" s="96"/>
      <c r="O1533" s="96"/>
      <c r="P1533" s="287"/>
      <c r="Q1533" s="474"/>
      <c r="R1533" s="449"/>
      <c r="S1533" s="465" t="e">
        <f t="shared" si="289"/>
        <v>#DIV/0!</v>
      </c>
    </row>
    <row r="1534" spans="1:19" ht="12.75" hidden="1">
      <c r="A1534" s="46" t="s">
        <v>243</v>
      </c>
      <c r="B1534" s="71"/>
      <c r="C1534" s="72" t="s">
        <v>256</v>
      </c>
      <c r="D1534" s="72" t="s">
        <v>199</v>
      </c>
      <c r="E1534" s="72" t="s">
        <v>200</v>
      </c>
      <c r="F1534" s="74"/>
      <c r="G1534" s="96"/>
      <c r="H1534" s="75"/>
      <c r="I1534" s="75"/>
      <c r="J1534" s="96"/>
      <c r="K1534" s="287"/>
      <c r="L1534" s="313"/>
      <c r="M1534" s="75"/>
      <c r="N1534" s="96"/>
      <c r="O1534" s="96"/>
      <c r="P1534" s="287"/>
      <c r="Q1534" s="474"/>
      <c r="R1534" s="449"/>
      <c r="S1534" s="465" t="e">
        <f t="shared" si="289"/>
        <v>#DIV/0!</v>
      </c>
    </row>
    <row r="1535" spans="1:19" ht="12.75" hidden="1">
      <c r="A1535" s="46" t="s">
        <v>225</v>
      </c>
      <c r="B1535" s="71"/>
      <c r="C1535" s="72" t="s">
        <v>256</v>
      </c>
      <c r="D1535" s="72" t="s">
        <v>199</v>
      </c>
      <c r="E1535" s="72" t="s">
        <v>200</v>
      </c>
      <c r="F1535" s="74"/>
      <c r="G1535" s="96"/>
      <c r="H1535" s="75"/>
      <c r="I1535" s="75"/>
      <c r="J1535" s="96"/>
      <c r="K1535" s="287"/>
      <c r="L1535" s="313"/>
      <c r="M1535" s="75"/>
      <c r="N1535" s="96"/>
      <c r="O1535" s="96"/>
      <c r="P1535" s="287"/>
      <c r="Q1535" s="474"/>
      <c r="R1535" s="449"/>
      <c r="S1535" s="465" t="e">
        <f t="shared" si="289"/>
        <v>#DIV/0!</v>
      </c>
    </row>
    <row r="1536" spans="1:19" ht="12.75" hidden="1">
      <c r="A1536" s="46" t="s">
        <v>226</v>
      </c>
      <c r="B1536" s="71"/>
      <c r="C1536" s="72" t="s">
        <v>256</v>
      </c>
      <c r="D1536" s="72" t="s">
        <v>199</v>
      </c>
      <c r="E1536" s="72" t="s">
        <v>200</v>
      </c>
      <c r="F1536" s="74"/>
      <c r="G1536" s="96">
        <f>G1490</f>
        <v>0</v>
      </c>
      <c r="H1536" s="75">
        <f>H1490</f>
        <v>0</v>
      </c>
      <c r="I1536" s="75">
        <f>I1490</f>
        <v>0</v>
      </c>
      <c r="J1536" s="96">
        <f>J1490</f>
        <v>0</v>
      </c>
      <c r="K1536" s="287">
        <f>K1490</f>
        <v>0</v>
      </c>
      <c r="L1536" s="313"/>
      <c r="M1536" s="75"/>
      <c r="N1536" s="96"/>
      <c r="O1536" s="96"/>
      <c r="P1536" s="287"/>
      <c r="Q1536" s="474"/>
      <c r="R1536" s="449"/>
      <c r="S1536" s="465" t="e">
        <f t="shared" si="289"/>
        <v>#DIV/0!</v>
      </c>
    </row>
    <row r="1537" spans="1:19" ht="12.75" hidden="1">
      <c r="A1537" s="45" t="s">
        <v>400</v>
      </c>
      <c r="B1537" s="71"/>
      <c r="C1537" s="72" t="s">
        <v>256</v>
      </c>
      <c r="D1537" s="72" t="s">
        <v>199</v>
      </c>
      <c r="E1537" s="72" t="s">
        <v>200</v>
      </c>
      <c r="F1537" s="74"/>
      <c r="G1537" s="96"/>
      <c r="H1537" s="75"/>
      <c r="I1537" s="75"/>
      <c r="J1537" s="96"/>
      <c r="K1537" s="287"/>
      <c r="L1537" s="313"/>
      <c r="M1537" s="75"/>
      <c r="N1537" s="96"/>
      <c r="O1537" s="96"/>
      <c r="P1537" s="287"/>
      <c r="Q1537" s="474"/>
      <c r="R1537" s="449"/>
      <c r="S1537" s="465" t="e">
        <f t="shared" si="289"/>
        <v>#DIV/0!</v>
      </c>
    </row>
    <row r="1538" spans="1:19" ht="0.75" customHeight="1" hidden="1">
      <c r="A1538" s="46" t="s">
        <v>401</v>
      </c>
      <c r="B1538" s="71"/>
      <c r="C1538" s="72" t="s">
        <v>256</v>
      </c>
      <c r="D1538" s="72" t="s">
        <v>199</v>
      </c>
      <c r="E1538" s="72" t="s">
        <v>200</v>
      </c>
      <c r="F1538" s="74"/>
      <c r="G1538" s="96"/>
      <c r="H1538" s="75"/>
      <c r="I1538" s="75"/>
      <c r="J1538" s="96"/>
      <c r="K1538" s="287"/>
      <c r="L1538" s="313"/>
      <c r="M1538" s="75"/>
      <c r="N1538" s="96"/>
      <c r="O1538" s="96"/>
      <c r="P1538" s="287"/>
      <c r="Q1538" s="474"/>
      <c r="R1538" s="449"/>
      <c r="S1538" s="465" t="e">
        <f t="shared" si="289"/>
        <v>#DIV/0!</v>
      </c>
    </row>
    <row r="1539" spans="1:19" ht="25.5" hidden="1">
      <c r="A1539" s="46" t="s">
        <v>26</v>
      </c>
      <c r="B1539" s="71"/>
      <c r="C1539" s="72" t="s">
        <v>256</v>
      </c>
      <c r="D1539" s="72" t="s">
        <v>199</v>
      </c>
      <c r="E1539" s="72" t="s">
        <v>200</v>
      </c>
      <c r="F1539" s="74"/>
      <c r="G1539" s="96"/>
      <c r="H1539" s="75"/>
      <c r="I1539" s="75"/>
      <c r="J1539" s="96"/>
      <c r="K1539" s="287"/>
      <c r="L1539" s="313"/>
      <c r="M1539" s="75"/>
      <c r="N1539" s="96"/>
      <c r="O1539" s="96"/>
      <c r="P1539" s="287"/>
      <c r="Q1539" s="474"/>
      <c r="R1539" s="449"/>
      <c r="S1539" s="465" t="e">
        <f t="shared" si="289"/>
        <v>#DIV/0!</v>
      </c>
    </row>
    <row r="1540" spans="1:19" ht="12.75" hidden="1">
      <c r="A1540" s="46" t="s">
        <v>227</v>
      </c>
      <c r="B1540" s="71"/>
      <c r="C1540" s="72" t="s">
        <v>256</v>
      </c>
      <c r="D1540" s="72" t="s">
        <v>199</v>
      </c>
      <c r="E1540" s="72" t="s">
        <v>200</v>
      </c>
      <c r="F1540" s="74"/>
      <c r="G1540" s="96">
        <f>G1491</f>
        <v>0</v>
      </c>
      <c r="H1540" s="75">
        <f>H1491</f>
        <v>0</v>
      </c>
      <c r="I1540" s="75">
        <f>I1491</f>
        <v>0</v>
      </c>
      <c r="J1540" s="96">
        <f>J1491</f>
        <v>0</v>
      </c>
      <c r="K1540" s="287">
        <f>K1491</f>
        <v>0</v>
      </c>
      <c r="L1540" s="313"/>
      <c r="M1540" s="75"/>
      <c r="N1540" s="96"/>
      <c r="O1540" s="96"/>
      <c r="P1540" s="287"/>
      <c r="Q1540" s="474"/>
      <c r="R1540" s="449"/>
      <c r="S1540" s="465" t="e">
        <f t="shared" si="289"/>
        <v>#DIV/0!</v>
      </c>
    </row>
    <row r="1541" spans="1:19" ht="12.75" customHeight="1" hidden="1">
      <c r="A1541" s="46" t="s">
        <v>228</v>
      </c>
      <c r="B1541" s="71"/>
      <c r="C1541" s="72" t="s">
        <v>256</v>
      </c>
      <c r="D1541" s="72" t="s">
        <v>199</v>
      </c>
      <c r="E1541" s="72" t="s">
        <v>200</v>
      </c>
      <c r="F1541" s="74"/>
      <c r="G1541" s="96">
        <f>SUM(G1542:G1543)</f>
        <v>0</v>
      </c>
      <c r="H1541" s="75">
        <f>SUM(H1542:H1543)</f>
        <v>0</v>
      </c>
      <c r="I1541" s="75">
        <f>SUM(I1542:I1543)</f>
        <v>0</v>
      </c>
      <c r="J1541" s="96">
        <f>SUM(J1542:J1543)</f>
        <v>0</v>
      </c>
      <c r="K1541" s="287">
        <f>SUM(K1542:K1543)</f>
        <v>0</v>
      </c>
      <c r="L1541" s="313"/>
      <c r="M1541" s="75"/>
      <c r="N1541" s="96"/>
      <c r="O1541" s="96"/>
      <c r="P1541" s="287"/>
      <c r="Q1541" s="474"/>
      <c r="R1541" s="449"/>
      <c r="S1541" s="465" t="e">
        <f t="shared" si="289"/>
        <v>#DIV/0!</v>
      </c>
    </row>
    <row r="1542" spans="1:19" ht="12.75" hidden="1">
      <c r="A1542" s="46" t="s">
        <v>229</v>
      </c>
      <c r="B1542" s="71"/>
      <c r="C1542" s="72" t="s">
        <v>256</v>
      </c>
      <c r="D1542" s="72" t="s">
        <v>199</v>
      </c>
      <c r="E1542" s="72" t="s">
        <v>200</v>
      </c>
      <c r="F1542" s="74"/>
      <c r="G1542" s="96"/>
      <c r="H1542" s="75"/>
      <c r="I1542" s="75"/>
      <c r="J1542" s="96"/>
      <c r="K1542" s="287"/>
      <c r="L1542" s="313"/>
      <c r="M1542" s="75"/>
      <c r="N1542" s="96"/>
      <c r="O1542" s="96"/>
      <c r="P1542" s="287"/>
      <c r="Q1542" s="474"/>
      <c r="R1542" s="449"/>
      <c r="S1542" s="465" t="e">
        <f t="shared" si="289"/>
        <v>#DIV/0!</v>
      </c>
    </row>
    <row r="1543" spans="1:19" ht="0.75" customHeight="1" hidden="1">
      <c r="A1543" s="46" t="s">
        <v>230</v>
      </c>
      <c r="B1543" s="71"/>
      <c r="C1543" s="72" t="s">
        <v>256</v>
      </c>
      <c r="D1543" s="72" t="s">
        <v>199</v>
      </c>
      <c r="E1543" s="72" t="s">
        <v>200</v>
      </c>
      <c r="F1543" s="74"/>
      <c r="G1543" s="96">
        <f>G1494</f>
        <v>0</v>
      </c>
      <c r="H1543" s="75">
        <f>H1494</f>
        <v>0</v>
      </c>
      <c r="I1543" s="75">
        <f>I1494</f>
        <v>0</v>
      </c>
      <c r="J1543" s="96">
        <f>J1494</f>
        <v>0</v>
      </c>
      <c r="K1543" s="287">
        <f>K1494</f>
        <v>0</v>
      </c>
      <c r="L1543" s="313"/>
      <c r="M1543" s="75"/>
      <c r="N1543" s="96"/>
      <c r="O1543" s="96"/>
      <c r="P1543" s="287"/>
      <c r="Q1543" s="474"/>
      <c r="R1543" s="449"/>
      <c r="S1543" s="465" t="e">
        <f t="shared" si="289"/>
        <v>#DIV/0!</v>
      </c>
    </row>
    <row r="1544" spans="1:19" ht="12.75" hidden="1">
      <c r="A1544" s="108" t="s">
        <v>290</v>
      </c>
      <c r="B1544" s="90"/>
      <c r="C1544" s="129"/>
      <c r="D1544" s="129"/>
      <c r="E1544" s="129"/>
      <c r="F1544" s="131"/>
      <c r="G1544" s="96">
        <f>G1532+G1536+G1540+G1543</f>
        <v>0</v>
      </c>
      <c r="H1544" s="75">
        <f>H1532+H1536+H1540+H1543</f>
        <v>0</v>
      </c>
      <c r="I1544" s="75">
        <f>I1532+I1536+I1540+I1543</f>
        <v>0</v>
      </c>
      <c r="J1544" s="96">
        <f>J1532+J1536+J1540+J1543</f>
        <v>0</v>
      </c>
      <c r="K1544" s="287">
        <f>K1532+K1536+K1540+K1543</f>
        <v>0</v>
      </c>
      <c r="L1544" s="313"/>
      <c r="M1544" s="75"/>
      <c r="N1544" s="96"/>
      <c r="O1544" s="96"/>
      <c r="P1544" s="287"/>
      <c r="Q1544" s="474"/>
      <c r="R1544" s="449"/>
      <c r="S1544" s="465" t="e">
        <f t="shared" si="289"/>
        <v>#DIV/0!</v>
      </c>
    </row>
    <row r="1545" spans="1:19" ht="12.75" hidden="1">
      <c r="A1545" s="29"/>
      <c r="B1545" s="30"/>
      <c r="C1545" s="31"/>
      <c r="D1545" s="31"/>
      <c r="E1545" s="31"/>
      <c r="F1545" s="81"/>
      <c r="G1545" s="89"/>
      <c r="H1545" s="82"/>
      <c r="I1545" s="82"/>
      <c r="J1545" s="89"/>
      <c r="K1545" s="275"/>
      <c r="L1545" s="315"/>
      <c r="M1545" s="82"/>
      <c r="N1545" s="89"/>
      <c r="O1545" s="89"/>
      <c r="P1545" s="275"/>
      <c r="Q1545" s="487"/>
      <c r="R1545" s="448"/>
      <c r="S1545" s="465" t="e">
        <f t="shared" si="289"/>
        <v>#DIV/0!</v>
      </c>
    </row>
    <row r="1546" spans="1:19" ht="12.75" hidden="1">
      <c r="A1546" s="46"/>
      <c r="B1546" s="71"/>
      <c r="C1546" s="72"/>
      <c r="D1546" s="72"/>
      <c r="E1546" s="72"/>
      <c r="F1546" s="78"/>
      <c r="G1546" s="89"/>
      <c r="H1546" s="82"/>
      <c r="I1546" s="82"/>
      <c r="J1546" s="89"/>
      <c r="K1546" s="275"/>
      <c r="L1546" s="315"/>
      <c r="M1546" s="82"/>
      <c r="N1546" s="89"/>
      <c r="O1546" s="89"/>
      <c r="P1546" s="275"/>
      <c r="Q1546" s="487"/>
      <c r="R1546" s="448"/>
      <c r="S1546" s="465" t="e">
        <f t="shared" si="289"/>
        <v>#DIV/0!</v>
      </c>
    </row>
    <row r="1547" spans="1:19" ht="12.75" hidden="1">
      <c r="A1547" s="29"/>
      <c r="B1547" s="30"/>
      <c r="C1547" s="31"/>
      <c r="D1547" s="31"/>
      <c r="E1547" s="31"/>
      <c r="F1547" s="81"/>
      <c r="G1547" s="89"/>
      <c r="H1547" s="82"/>
      <c r="I1547" s="82"/>
      <c r="J1547" s="89"/>
      <c r="K1547" s="275"/>
      <c r="L1547" s="315"/>
      <c r="M1547" s="82"/>
      <c r="N1547" s="89"/>
      <c r="O1547" s="89"/>
      <c r="P1547" s="275"/>
      <c r="Q1547" s="487"/>
      <c r="R1547" s="448"/>
      <c r="S1547" s="465" t="e">
        <f t="shared" si="289"/>
        <v>#DIV/0!</v>
      </c>
    </row>
    <row r="1548" spans="1:19" ht="12.75" hidden="1">
      <c r="A1548" s="46"/>
      <c r="B1548" s="71"/>
      <c r="C1548" s="72"/>
      <c r="D1548" s="72"/>
      <c r="E1548" s="72"/>
      <c r="F1548" s="78"/>
      <c r="G1548" s="89"/>
      <c r="H1548" s="82"/>
      <c r="I1548" s="82"/>
      <c r="J1548" s="89"/>
      <c r="K1548" s="275"/>
      <c r="L1548" s="315"/>
      <c r="M1548" s="82"/>
      <c r="N1548" s="89"/>
      <c r="O1548" s="89"/>
      <c r="P1548" s="275"/>
      <c r="Q1548" s="487"/>
      <c r="R1548" s="448"/>
      <c r="S1548" s="465" t="e">
        <f t="shared" si="289"/>
        <v>#DIV/0!</v>
      </c>
    </row>
    <row r="1549" spans="1:19" ht="13.5" hidden="1" thickBot="1">
      <c r="A1549" s="62"/>
      <c r="B1549" s="53"/>
      <c r="C1549" s="54"/>
      <c r="D1549" s="54"/>
      <c r="E1549" s="54"/>
      <c r="F1549" s="86"/>
      <c r="G1549" s="94"/>
      <c r="H1549" s="87"/>
      <c r="I1549" s="87"/>
      <c r="J1549" s="94"/>
      <c r="K1549" s="291"/>
      <c r="L1549" s="315"/>
      <c r="M1549" s="82"/>
      <c r="N1549" s="89"/>
      <c r="O1549" s="89"/>
      <c r="P1549" s="275"/>
      <c r="Q1549" s="487"/>
      <c r="R1549" s="448"/>
      <c r="S1549" s="465" t="e">
        <f aca="true" t="shared" si="290" ref="S1549:S1613">R1549/Q1549*100</f>
        <v>#DIV/0!</v>
      </c>
    </row>
    <row r="1550" spans="1:19" ht="25.5" hidden="1">
      <c r="A1550" s="46" t="s">
        <v>181</v>
      </c>
      <c r="B1550" s="66"/>
      <c r="C1550" s="67" t="s">
        <v>256</v>
      </c>
      <c r="D1550" s="67" t="s">
        <v>198</v>
      </c>
      <c r="E1550" s="67" t="s">
        <v>81</v>
      </c>
      <c r="F1550" s="69"/>
      <c r="G1550" s="272">
        <f>G1551+G1553</f>
        <v>656.5</v>
      </c>
      <c r="H1550" s="272" t="e">
        <f>H1551+H1553</f>
        <v>#REF!</v>
      </c>
      <c r="I1550" s="272" t="e">
        <f>I1551+I1553</f>
        <v>#REF!</v>
      </c>
      <c r="J1550" s="272">
        <f>J1551+J1553</f>
        <v>334</v>
      </c>
      <c r="K1550" s="310">
        <f>K1551+K1553</f>
        <v>990.5</v>
      </c>
      <c r="L1550" s="315"/>
      <c r="M1550" s="82"/>
      <c r="N1550" s="89"/>
      <c r="O1550" s="89"/>
      <c r="P1550" s="275"/>
      <c r="Q1550" s="487"/>
      <c r="R1550" s="448"/>
      <c r="S1550" s="465" t="e">
        <f t="shared" si="290"/>
        <v>#DIV/0!</v>
      </c>
    </row>
    <row r="1551" spans="1:19" ht="15.75" customHeight="1">
      <c r="A1551" s="181" t="s">
        <v>109</v>
      </c>
      <c r="B1551" s="141" t="s">
        <v>202</v>
      </c>
      <c r="C1551" s="76" t="s">
        <v>256</v>
      </c>
      <c r="D1551" s="76" t="s">
        <v>198</v>
      </c>
      <c r="E1551" s="76" t="s">
        <v>81</v>
      </c>
      <c r="F1551" s="78" t="s">
        <v>106</v>
      </c>
      <c r="G1551" s="208">
        <v>656.5</v>
      </c>
      <c r="H1551" s="208" t="e">
        <f>#REF!</f>
        <v>#REF!</v>
      </c>
      <c r="I1551" s="208" t="e">
        <f>#REF!</f>
        <v>#REF!</v>
      </c>
      <c r="J1551" s="208">
        <v>-50.2</v>
      </c>
      <c r="K1551" s="275">
        <v>606.3</v>
      </c>
      <c r="L1551" s="315">
        <v>-15</v>
      </c>
      <c r="M1551" s="82"/>
      <c r="N1551" s="89">
        <f>K1551+L1551+M1551</f>
        <v>591.3</v>
      </c>
      <c r="O1551" s="89"/>
      <c r="P1551" s="275"/>
      <c r="Q1551" s="487">
        <f>N1551+O1551+P1551</f>
        <v>591.3</v>
      </c>
      <c r="R1551" s="448">
        <v>590.51639</v>
      </c>
      <c r="S1551" s="444">
        <f t="shared" si="290"/>
        <v>99.86747674615255</v>
      </c>
    </row>
    <row r="1552" spans="1:19" ht="15.75" customHeight="1">
      <c r="A1552" s="181" t="s">
        <v>109</v>
      </c>
      <c r="B1552" s="141" t="s">
        <v>299</v>
      </c>
      <c r="C1552" s="76" t="s">
        <v>256</v>
      </c>
      <c r="D1552" s="76" t="s">
        <v>198</v>
      </c>
      <c r="E1552" s="76" t="s">
        <v>81</v>
      </c>
      <c r="F1552" s="78" t="s">
        <v>106</v>
      </c>
      <c r="G1552" s="174"/>
      <c r="H1552" s="174"/>
      <c r="I1552" s="174"/>
      <c r="J1552" s="174"/>
      <c r="K1552" s="275"/>
      <c r="L1552" s="315"/>
      <c r="M1552" s="82"/>
      <c r="N1552" s="89"/>
      <c r="O1552" s="89"/>
      <c r="P1552" s="275"/>
      <c r="Q1552" s="487">
        <v>6</v>
      </c>
      <c r="R1552" s="448">
        <v>6</v>
      </c>
      <c r="S1552" s="444">
        <f t="shared" si="290"/>
        <v>100</v>
      </c>
    </row>
    <row r="1553" spans="1:19" ht="15.75" customHeight="1" thickBot="1">
      <c r="A1553" s="192" t="s">
        <v>120</v>
      </c>
      <c r="B1553" s="365" t="s">
        <v>299</v>
      </c>
      <c r="C1553" s="84" t="s">
        <v>256</v>
      </c>
      <c r="D1553" s="84" t="s">
        <v>198</v>
      </c>
      <c r="E1553" s="84" t="s">
        <v>490</v>
      </c>
      <c r="F1553" s="86" t="s">
        <v>112</v>
      </c>
      <c r="G1553" s="273"/>
      <c r="H1553" s="273"/>
      <c r="I1553" s="206"/>
      <c r="J1553" s="273">
        <f>252.5+131.7</f>
        <v>384.2</v>
      </c>
      <c r="K1553" s="275">
        <v>384.2</v>
      </c>
      <c r="L1553" s="315"/>
      <c r="M1553" s="82"/>
      <c r="N1553" s="89">
        <f>K1553+L1553+M1553</f>
        <v>384.2</v>
      </c>
      <c r="O1553" s="89"/>
      <c r="P1553" s="275"/>
      <c r="Q1553" s="488">
        <v>378.2</v>
      </c>
      <c r="R1553" s="489">
        <v>231.564</v>
      </c>
      <c r="S1553" s="477">
        <f t="shared" si="290"/>
        <v>61.227921734531996</v>
      </c>
    </row>
    <row r="1554" spans="1:19" ht="63.75" thickBot="1">
      <c r="A1554" s="182" t="s">
        <v>152</v>
      </c>
      <c r="B1554" s="183" t="s">
        <v>254</v>
      </c>
      <c r="C1554" s="184" t="s">
        <v>302</v>
      </c>
      <c r="D1554" s="184" t="s">
        <v>83</v>
      </c>
      <c r="E1554" s="184"/>
      <c r="F1554" s="186"/>
      <c r="G1554" s="198">
        <f aca="true" t="shared" si="291" ref="G1554:M1554">G1555+G1571</f>
        <v>10573.4</v>
      </c>
      <c r="H1554" s="198">
        <f t="shared" si="291"/>
        <v>6706</v>
      </c>
      <c r="I1554" s="198">
        <f t="shared" si="291"/>
        <v>6025</v>
      </c>
      <c r="J1554" s="198">
        <f t="shared" si="291"/>
        <v>14522.607</v>
      </c>
      <c r="K1554" s="284">
        <f>K1555+K1571</f>
        <v>25096.007</v>
      </c>
      <c r="L1554" s="284">
        <f>L1555+L1571</f>
        <v>2868.0429999999997</v>
      </c>
      <c r="M1554" s="284">
        <f t="shared" si="291"/>
        <v>7000.2</v>
      </c>
      <c r="N1554" s="284">
        <f>N1555+N1571</f>
        <v>34964.25</v>
      </c>
      <c r="O1554" s="284">
        <f>O1555+O1571</f>
        <v>5957.584</v>
      </c>
      <c r="P1554" s="284">
        <f>P1555+P1571</f>
        <v>1039.2</v>
      </c>
      <c r="Q1554" s="524">
        <f>Q1555+Q1571</f>
        <v>42110.834</v>
      </c>
      <c r="R1554" s="524">
        <f>R1555+R1571</f>
        <v>40970.553</v>
      </c>
      <c r="S1554" s="520">
        <f t="shared" si="290"/>
        <v>97.29219088845402</v>
      </c>
    </row>
    <row r="1555" spans="1:19" ht="29.25" customHeight="1" thickBot="1">
      <c r="A1555" s="23" t="s">
        <v>84</v>
      </c>
      <c r="B1555" s="24" t="s">
        <v>254</v>
      </c>
      <c r="C1555" s="25" t="s">
        <v>302</v>
      </c>
      <c r="D1555" s="25" t="s">
        <v>198</v>
      </c>
      <c r="E1555" s="25"/>
      <c r="F1555" s="27"/>
      <c r="G1555" s="201">
        <f aca="true" t="shared" si="292" ref="G1555:R1557">G1556</f>
        <v>9000</v>
      </c>
      <c r="H1555" s="28">
        <f t="shared" si="292"/>
        <v>6706</v>
      </c>
      <c r="I1555" s="28">
        <f t="shared" si="292"/>
        <v>6025</v>
      </c>
      <c r="J1555" s="201">
        <f t="shared" si="292"/>
        <v>0</v>
      </c>
      <c r="K1555" s="289">
        <f t="shared" si="292"/>
        <v>9000</v>
      </c>
      <c r="L1555" s="289">
        <f t="shared" si="292"/>
        <v>0</v>
      </c>
      <c r="M1555" s="289">
        <f t="shared" si="292"/>
        <v>5100</v>
      </c>
      <c r="N1555" s="289">
        <f t="shared" si="292"/>
        <v>14100</v>
      </c>
      <c r="O1555" s="289">
        <f t="shared" si="292"/>
        <v>0</v>
      </c>
      <c r="P1555" s="289">
        <f t="shared" si="292"/>
        <v>0</v>
      </c>
      <c r="Q1555" s="482">
        <f>Q1557</f>
        <v>14100</v>
      </c>
      <c r="R1555" s="483">
        <f>R1557</f>
        <v>14100</v>
      </c>
      <c r="S1555" s="484">
        <f t="shared" si="290"/>
        <v>100</v>
      </c>
    </row>
    <row r="1556" spans="1:19" ht="16.5" customHeight="1" hidden="1" thickBot="1">
      <c r="A1556" s="48" t="s">
        <v>85</v>
      </c>
      <c r="B1556" s="33" t="s">
        <v>254</v>
      </c>
      <c r="C1556" s="34" t="s">
        <v>302</v>
      </c>
      <c r="D1556" s="34" t="s">
        <v>198</v>
      </c>
      <c r="E1556" s="34" t="s">
        <v>86</v>
      </c>
      <c r="F1556" s="36"/>
      <c r="G1556" s="207">
        <f>G1557</f>
        <v>9000</v>
      </c>
      <c r="H1556" s="207">
        <f t="shared" si="292"/>
        <v>6706</v>
      </c>
      <c r="I1556" s="207">
        <f t="shared" si="292"/>
        <v>6025</v>
      </c>
      <c r="J1556" s="207">
        <f t="shared" si="292"/>
        <v>0</v>
      </c>
      <c r="K1556" s="302">
        <f t="shared" si="292"/>
        <v>9000</v>
      </c>
      <c r="L1556" s="302">
        <f t="shared" si="292"/>
        <v>0</v>
      </c>
      <c r="M1556" s="302">
        <f t="shared" si="292"/>
        <v>5100</v>
      </c>
      <c r="N1556" s="302">
        <f t="shared" si="292"/>
        <v>14100</v>
      </c>
      <c r="O1556" s="302">
        <f t="shared" si="292"/>
        <v>0</v>
      </c>
      <c r="P1556" s="302">
        <f t="shared" si="292"/>
        <v>0</v>
      </c>
      <c r="Q1556" s="480">
        <f t="shared" si="292"/>
        <v>14100</v>
      </c>
      <c r="R1556" s="480">
        <f t="shared" si="292"/>
        <v>14100</v>
      </c>
      <c r="S1556" s="481">
        <f t="shared" si="290"/>
        <v>100</v>
      </c>
    </row>
    <row r="1557" spans="1:19" ht="16.5" customHeight="1">
      <c r="A1557" s="48" t="s">
        <v>85</v>
      </c>
      <c r="B1557" s="71" t="s">
        <v>254</v>
      </c>
      <c r="C1557" s="72" t="s">
        <v>302</v>
      </c>
      <c r="D1557" s="72" t="s">
        <v>198</v>
      </c>
      <c r="E1557" s="72" t="s">
        <v>87</v>
      </c>
      <c r="F1557" s="78"/>
      <c r="G1557" s="96">
        <f t="shared" si="292"/>
        <v>9000</v>
      </c>
      <c r="H1557" s="75">
        <f t="shared" si="292"/>
        <v>6706</v>
      </c>
      <c r="I1557" s="75">
        <f t="shared" si="292"/>
        <v>6025</v>
      </c>
      <c r="J1557" s="96">
        <f t="shared" si="292"/>
        <v>0</v>
      </c>
      <c r="K1557" s="287">
        <v>9000</v>
      </c>
      <c r="L1557" s="287">
        <f t="shared" si="292"/>
        <v>0</v>
      </c>
      <c r="M1557" s="287">
        <v>5100</v>
      </c>
      <c r="N1557" s="287">
        <f>K1557+L1557+M1557</f>
        <v>14100</v>
      </c>
      <c r="O1557" s="287"/>
      <c r="P1557" s="287"/>
      <c r="Q1557" s="449">
        <f>Q1570</f>
        <v>14100</v>
      </c>
      <c r="R1557" s="449">
        <f>R1570</f>
        <v>14100</v>
      </c>
      <c r="S1557" s="465">
        <f t="shared" si="290"/>
        <v>100</v>
      </c>
    </row>
    <row r="1558" spans="1:19" ht="0.75" customHeight="1" hidden="1">
      <c r="A1558" s="39" t="s">
        <v>88</v>
      </c>
      <c r="B1558" s="71" t="s">
        <v>254</v>
      </c>
      <c r="C1558" s="76" t="s">
        <v>302</v>
      </c>
      <c r="D1558" s="76" t="s">
        <v>198</v>
      </c>
      <c r="E1558" s="76" t="s">
        <v>87</v>
      </c>
      <c r="F1558" s="78" t="s">
        <v>89</v>
      </c>
      <c r="G1558" s="89">
        <f>G1570</f>
        <v>9000</v>
      </c>
      <c r="H1558" s="82">
        <f>H1570</f>
        <v>6706</v>
      </c>
      <c r="I1558" s="82">
        <f>I1570</f>
        <v>6025</v>
      </c>
      <c r="J1558" s="89">
        <f>J1570</f>
        <v>0</v>
      </c>
      <c r="K1558" s="275">
        <f>K1570</f>
        <v>9000</v>
      </c>
      <c r="L1558" s="315"/>
      <c r="M1558" s="82"/>
      <c r="N1558" s="89"/>
      <c r="O1558" s="89"/>
      <c r="P1558" s="275"/>
      <c r="Q1558" s="448"/>
      <c r="R1558" s="448"/>
      <c r="S1558" s="465" t="e">
        <f t="shared" si="290"/>
        <v>#DIV/0!</v>
      </c>
    </row>
    <row r="1559" spans="1:19" ht="15" customHeight="1" hidden="1">
      <c r="A1559" s="46" t="s">
        <v>210</v>
      </c>
      <c r="B1559" s="71" t="s">
        <v>254</v>
      </c>
      <c r="C1559" s="76" t="s">
        <v>302</v>
      </c>
      <c r="D1559" s="72" t="s">
        <v>198</v>
      </c>
      <c r="E1559" s="76" t="s">
        <v>87</v>
      </c>
      <c r="F1559" s="78" t="s">
        <v>89</v>
      </c>
      <c r="G1559" s="96">
        <f aca="true" t="shared" si="293" ref="G1559:K1560">G1560</f>
        <v>0</v>
      </c>
      <c r="H1559" s="75">
        <f t="shared" si="293"/>
        <v>0</v>
      </c>
      <c r="I1559" s="75">
        <f t="shared" si="293"/>
        <v>0</v>
      </c>
      <c r="J1559" s="96">
        <f t="shared" si="293"/>
        <v>0</v>
      </c>
      <c r="K1559" s="287">
        <f t="shared" si="293"/>
        <v>0</v>
      </c>
      <c r="L1559" s="313"/>
      <c r="M1559" s="75"/>
      <c r="N1559" s="96"/>
      <c r="O1559" s="96"/>
      <c r="P1559" s="287"/>
      <c r="Q1559" s="449"/>
      <c r="R1559" s="449"/>
      <c r="S1559" s="465" t="e">
        <f t="shared" si="290"/>
        <v>#DIV/0!</v>
      </c>
    </row>
    <row r="1560" spans="1:19" ht="12.75" hidden="1">
      <c r="A1560" s="46" t="s">
        <v>90</v>
      </c>
      <c r="B1560" s="71" t="s">
        <v>254</v>
      </c>
      <c r="C1560" s="76" t="s">
        <v>302</v>
      </c>
      <c r="D1560" s="72" t="s">
        <v>198</v>
      </c>
      <c r="E1560" s="76" t="s">
        <v>87</v>
      </c>
      <c r="F1560" s="78" t="s">
        <v>89</v>
      </c>
      <c r="G1560" s="96">
        <f t="shared" si="293"/>
        <v>0</v>
      </c>
      <c r="H1560" s="75">
        <f t="shared" si="293"/>
        <v>0</v>
      </c>
      <c r="I1560" s="75">
        <f t="shared" si="293"/>
        <v>0</v>
      </c>
      <c r="J1560" s="96">
        <f t="shared" si="293"/>
        <v>0</v>
      </c>
      <c r="K1560" s="287">
        <f t="shared" si="293"/>
        <v>0</v>
      </c>
      <c r="L1560" s="313"/>
      <c r="M1560" s="75"/>
      <c r="N1560" s="96"/>
      <c r="O1560" s="96"/>
      <c r="P1560" s="287"/>
      <c r="Q1560" s="449"/>
      <c r="R1560" s="449"/>
      <c r="S1560" s="465" t="e">
        <f t="shared" si="290"/>
        <v>#DIV/0!</v>
      </c>
    </row>
    <row r="1561" spans="1:19" ht="25.5" hidden="1">
      <c r="A1561" s="46" t="s">
        <v>91</v>
      </c>
      <c r="B1561" s="71" t="s">
        <v>254</v>
      </c>
      <c r="C1561" s="76" t="s">
        <v>302</v>
      </c>
      <c r="D1561" s="72" t="s">
        <v>198</v>
      </c>
      <c r="E1561" s="76" t="s">
        <v>87</v>
      </c>
      <c r="F1561" s="78" t="s">
        <v>89</v>
      </c>
      <c r="G1561" s="96"/>
      <c r="H1561" s="75"/>
      <c r="I1561" s="75"/>
      <c r="J1561" s="96"/>
      <c r="K1561" s="287"/>
      <c r="L1561" s="313"/>
      <c r="M1561" s="75"/>
      <c r="N1561" s="96"/>
      <c r="O1561" s="96"/>
      <c r="P1561" s="287"/>
      <c r="Q1561" s="449"/>
      <c r="R1561" s="449"/>
      <c r="S1561" s="465" t="e">
        <f t="shared" si="290"/>
        <v>#DIV/0!</v>
      </c>
    </row>
    <row r="1562" spans="1:19" ht="12.75" hidden="1">
      <c r="A1562" s="46" t="s">
        <v>92</v>
      </c>
      <c r="B1562" s="71" t="s">
        <v>254</v>
      </c>
      <c r="C1562" s="76" t="s">
        <v>302</v>
      </c>
      <c r="D1562" s="72" t="s">
        <v>219</v>
      </c>
      <c r="E1562" s="167" t="s">
        <v>93</v>
      </c>
      <c r="F1562" s="74" t="s">
        <v>201</v>
      </c>
      <c r="G1562" s="96">
        <f aca="true" t="shared" si="294" ref="G1562:K1565">G1563</f>
        <v>0</v>
      </c>
      <c r="H1562" s="75">
        <f t="shared" si="294"/>
        <v>0</v>
      </c>
      <c r="I1562" s="75">
        <f t="shared" si="294"/>
        <v>0</v>
      </c>
      <c r="J1562" s="96">
        <f t="shared" si="294"/>
        <v>0</v>
      </c>
      <c r="K1562" s="287">
        <f t="shared" si="294"/>
        <v>0</v>
      </c>
      <c r="L1562" s="313"/>
      <c r="M1562" s="75"/>
      <c r="N1562" s="96"/>
      <c r="O1562" s="96"/>
      <c r="P1562" s="287"/>
      <c r="Q1562" s="449"/>
      <c r="R1562" s="449"/>
      <c r="S1562" s="465" t="e">
        <f t="shared" si="290"/>
        <v>#DIV/0!</v>
      </c>
    </row>
    <row r="1563" spans="1:19" ht="12.75" hidden="1">
      <c r="A1563" s="45" t="s">
        <v>94</v>
      </c>
      <c r="B1563" s="71" t="s">
        <v>254</v>
      </c>
      <c r="C1563" s="76" t="s">
        <v>302</v>
      </c>
      <c r="D1563" s="76" t="s">
        <v>219</v>
      </c>
      <c r="E1563" s="167" t="s">
        <v>375</v>
      </c>
      <c r="F1563" s="74" t="s">
        <v>201</v>
      </c>
      <c r="G1563" s="96">
        <f t="shared" si="294"/>
        <v>0</v>
      </c>
      <c r="H1563" s="75">
        <f t="shared" si="294"/>
        <v>0</v>
      </c>
      <c r="I1563" s="75">
        <f t="shared" si="294"/>
        <v>0</v>
      </c>
      <c r="J1563" s="96">
        <f t="shared" si="294"/>
        <v>0</v>
      </c>
      <c r="K1563" s="287">
        <f t="shared" si="294"/>
        <v>0</v>
      </c>
      <c r="L1563" s="313"/>
      <c r="M1563" s="75"/>
      <c r="N1563" s="96"/>
      <c r="O1563" s="96"/>
      <c r="P1563" s="287"/>
      <c r="Q1563" s="449"/>
      <c r="R1563" s="449"/>
      <c r="S1563" s="465" t="e">
        <f t="shared" si="290"/>
        <v>#DIV/0!</v>
      </c>
    </row>
    <row r="1564" spans="1:19" ht="0.75" customHeight="1" hidden="1">
      <c r="A1564" s="45" t="s">
        <v>95</v>
      </c>
      <c r="B1564" s="71" t="s">
        <v>254</v>
      </c>
      <c r="C1564" s="76" t="s">
        <v>302</v>
      </c>
      <c r="D1564" s="76" t="s">
        <v>219</v>
      </c>
      <c r="E1564" s="168" t="s">
        <v>96</v>
      </c>
      <c r="F1564" s="78" t="s">
        <v>201</v>
      </c>
      <c r="G1564" s="96">
        <f t="shared" si="294"/>
        <v>0</v>
      </c>
      <c r="H1564" s="75">
        <f t="shared" si="294"/>
        <v>0</v>
      </c>
      <c r="I1564" s="75">
        <f t="shared" si="294"/>
        <v>0</v>
      </c>
      <c r="J1564" s="96">
        <f t="shared" si="294"/>
        <v>0</v>
      </c>
      <c r="K1564" s="287">
        <f t="shared" si="294"/>
        <v>0</v>
      </c>
      <c r="L1564" s="313"/>
      <c r="M1564" s="75"/>
      <c r="N1564" s="96"/>
      <c r="O1564" s="96"/>
      <c r="P1564" s="287"/>
      <c r="Q1564" s="449"/>
      <c r="R1564" s="449"/>
      <c r="S1564" s="465" t="e">
        <f t="shared" si="290"/>
        <v>#DIV/0!</v>
      </c>
    </row>
    <row r="1565" spans="1:19" ht="12.75" hidden="1">
      <c r="A1565" s="45" t="s">
        <v>482</v>
      </c>
      <c r="B1565" s="71" t="s">
        <v>254</v>
      </c>
      <c r="C1565" s="76" t="s">
        <v>302</v>
      </c>
      <c r="D1565" s="76" t="s">
        <v>219</v>
      </c>
      <c r="E1565" s="168" t="s">
        <v>96</v>
      </c>
      <c r="F1565" s="78" t="s">
        <v>483</v>
      </c>
      <c r="G1565" s="96">
        <f t="shared" si="294"/>
        <v>0</v>
      </c>
      <c r="H1565" s="75">
        <f t="shared" si="294"/>
        <v>0</v>
      </c>
      <c r="I1565" s="75">
        <f t="shared" si="294"/>
        <v>0</v>
      </c>
      <c r="J1565" s="96">
        <f t="shared" si="294"/>
        <v>0</v>
      </c>
      <c r="K1565" s="287">
        <f t="shared" si="294"/>
        <v>0</v>
      </c>
      <c r="L1565" s="313"/>
      <c r="M1565" s="75"/>
      <c r="N1565" s="96"/>
      <c r="O1565" s="96"/>
      <c r="P1565" s="287"/>
      <c r="Q1565" s="449"/>
      <c r="R1565" s="449"/>
      <c r="S1565" s="465" t="e">
        <f t="shared" si="290"/>
        <v>#DIV/0!</v>
      </c>
    </row>
    <row r="1566" spans="1:19" ht="12.75" hidden="1">
      <c r="A1566" s="45" t="s">
        <v>210</v>
      </c>
      <c r="B1566" s="71" t="s">
        <v>254</v>
      </c>
      <c r="C1566" s="76" t="s">
        <v>302</v>
      </c>
      <c r="D1566" s="76" t="s">
        <v>219</v>
      </c>
      <c r="E1566" s="168" t="s">
        <v>96</v>
      </c>
      <c r="F1566" s="78" t="s">
        <v>483</v>
      </c>
      <c r="G1566" s="96">
        <f>G1568</f>
        <v>0</v>
      </c>
      <c r="H1566" s="75">
        <f>H1568</f>
        <v>0</v>
      </c>
      <c r="I1566" s="75">
        <f>I1568</f>
        <v>0</v>
      </c>
      <c r="J1566" s="96">
        <f>J1568</f>
        <v>0</v>
      </c>
      <c r="K1566" s="287">
        <f>K1568</f>
        <v>0</v>
      </c>
      <c r="L1566" s="313"/>
      <c r="M1566" s="75"/>
      <c r="N1566" s="96"/>
      <c r="O1566" s="96"/>
      <c r="P1566" s="287"/>
      <c r="Q1566" s="449"/>
      <c r="R1566" s="449"/>
      <c r="S1566" s="465" t="e">
        <f t="shared" si="290"/>
        <v>#DIV/0!</v>
      </c>
    </row>
    <row r="1567" spans="1:19" ht="12.75" hidden="1">
      <c r="A1567" s="142" t="s">
        <v>457</v>
      </c>
      <c r="B1567" s="71" t="s">
        <v>254</v>
      </c>
      <c r="C1567" s="76" t="s">
        <v>302</v>
      </c>
      <c r="D1567" s="76" t="s">
        <v>219</v>
      </c>
      <c r="E1567" s="168" t="s">
        <v>96</v>
      </c>
      <c r="F1567" s="78" t="s">
        <v>483</v>
      </c>
      <c r="G1567" s="96">
        <f aca="true" t="shared" si="295" ref="G1567:K1568">G1568</f>
        <v>0</v>
      </c>
      <c r="H1567" s="75">
        <f t="shared" si="295"/>
        <v>0</v>
      </c>
      <c r="I1567" s="75">
        <f t="shared" si="295"/>
        <v>0</v>
      </c>
      <c r="J1567" s="96">
        <f t="shared" si="295"/>
        <v>0</v>
      </c>
      <c r="K1567" s="287">
        <f t="shared" si="295"/>
        <v>0</v>
      </c>
      <c r="L1567" s="313"/>
      <c r="M1567" s="75"/>
      <c r="N1567" s="96"/>
      <c r="O1567" s="96"/>
      <c r="P1567" s="287"/>
      <c r="Q1567" s="449"/>
      <c r="R1567" s="449"/>
      <c r="S1567" s="465" t="e">
        <f t="shared" si="290"/>
        <v>#DIV/0!</v>
      </c>
    </row>
    <row r="1568" spans="1:19" ht="12.75" hidden="1">
      <c r="A1568" s="46" t="s">
        <v>90</v>
      </c>
      <c r="B1568" s="71" t="s">
        <v>254</v>
      </c>
      <c r="C1568" s="76" t="s">
        <v>302</v>
      </c>
      <c r="D1568" s="76" t="s">
        <v>219</v>
      </c>
      <c r="E1568" s="169" t="s">
        <v>96</v>
      </c>
      <c r="F1568" s="78" t="s">
        <v>483</v>
      </c>
      <c r="G1568" s="96">
        <f t="shared" si="295"/>
        <v>0</v>
      </c>
      <c r="H1568" s="75">
        <f t="shared" si="295"/>
        <v>0</v>
      </c>
      <c r="I1568" s="75">
        <f t="shared" si="295"/>
        <v>0</v>
      </c>
      <c r="J1568" s="96">
        <f t="shared" si="295"/>
        <v>0</v>
      </c>
      <c r="K1568" s="287">
        <f t="shared" si="295"/>
        <v>0</v>
      </c>
      <c r="L1568" s="313"/>
      <c r="M1568" s="75"/>
      <c r="N1568" s="96"/>
      <c r="O1568" s="96"/>
      <c r="P1568" s="287"/>
      <c r="Q1568" s="449"/>
      <c r="R1568" s="449"/>
      <c r="S1568" s="465" t="e">
        <f t="shared" si="290"/>
        <v>#DIV/0!</v>
      </c>
    </row>
    <row r="1569" spans="1:19" ht="25.5" hidden="1">
      <c r="A1569" s="108" t="s">
        <v>91</v>
      </c>
      <c r="B1569" s="90" t="s">
        <v>254</v>
      </c>
      <c r="C1569" s="91" t="s">
        <v>302</v>
      </c>
      <c r="D1569" s="91" t="s">
        <v>219</v>
      </c>
      <c r="E1569" s="170" t="s">
        <v>96</v>
      </c>
      <c r="F1569" s="93" t="s">
        <v>483</v>
      </c>
      <c r="G1569" s="96"/>
      <c r="H1569" s="75"/>
      <c r="I1569" s="75"/>
      <c r="J1569" s="96"/>
      <c r="K1569" s="287"/>
      <c r="L1569" s="313"/>
      <c r="M1569" s="75"/>
      <c r="N1569" s="96"/>
      <c r="O1569" s="96"/>
      <c r="P1569" s="287"/>
      <c r="Q1569" s="449"/>
      <c r="R1569" s="449"/>
      <c r="S1569" s="465" t="e">
        <f t="shared" si="290"/>
        <v>#DIV/0!</v>
      </c>
    </row>
    <row r="1570" spans="1:19" ht="26.25" thickBot="1">
      <c r="A1570" s="195" t="s">
        <v>545</v>
      </c>
      <c r="B1570" s="214" t="s">
        <v>254</v>
      </c>
      <c r="C1570" s="91" t="s">
        <v>302</v>
      </c>
      <c r="D1570" s="91" t="s">
        <v>198</v>
      </c>
      <c r="E1570" s="91" t="s">
        <v>87</v>
      </c>
      <c r="F1570" s="81" t="s">
        <v>125</v>
      </c>
      <c r="G1570" s="97">
        <v>9000</v>
      </c>
      <c r="H1570" s="111">
        <v>6706</v>
      </c>
      <c r="I1570" s="111">
        <v>6025</v>
      </c>
      <c r="J1570" s="97"/>
      <c r="K1570" s="269">
        <f>G1570+J1570</f>
        <v>9000</v>
      </c>
      <c r="L1570" s="326"/>
      <c r="M1570" s="111"/>
      <c r="N1570" s="97"/>
      <c r="O1570" s="97"/>
      <c r="P1570" s="269"/>
      <c r="Q1570" s="460">
        <v>14100</v>
      </c>
      <c r="R1570" s="460">
        <v>14100</v>
      </c>
      <c r="S1570" s="491">
        <f t="shared" si="290"/>
        <v>100</v>
      </c>
    </row>
    <row r="1571" spans="1:19" ht="16.5" customHeight="1" thickBot="1">
      <c r="A1571" s="422" t="s">
        <v>98</v>
      </c>
      <c r="B1571" s="24" t="s">
        <v>254</v>
      </c>
      <c r="C1571" s="25" t="s">
        <v>302</v>
      </c>
      <c r="D1571" s="25" t="s">
        <v>219</v>
      </c>
      <c r="E1571" s="423"/>
      <c r="F1571" s="27"/>
      <c r="G1571" s="201">
        <f aca="true" t="shared" si="296" ref="G1571:M1571">G1605+G1610+G1612</f>
        <v>1573.4</v>
      </c>
      <c r="H1571" s="201">
        <f t="shared" si="296"/>
        <v>0</v>
      </c>
      <c r="I1571" s="201">
        <f t="shared" si="296"/>
        <v>0</v>
      </c>
      <c r="J1571" s="201">
        <f t="shared" si="296"/>
        <v>14522.607</v>
      </c>
      <c r="K1571" s="289">
        <f>K1605+K1610+K1612</f>
        <v>16096.007000000001</v>
      </c>
      <c r="L1571" s="289">
        <f>L1605+L1610+L1612</f>
        <v>2868.0429999999997</v>
      </c>
      <c r="M1571" s="289">
        <f t="shared" si="296"/>
        <v>1900.2</v>
      </c>
      <c r="N1571" s="289">
        <f>N1605+N1610+N1612</f>
        <v>20864.25</v>
      </c>
      <c r="O1571" s="289">
        <f>O1605+O1610+O1612</f>
        <v>5957.584</v>
      </c>
      <c r="P1571" s="289">
        <f>P1605+P1610+P1612</f>
        <v>1039.2</v>
      </c>
      <c r="Q1571" s="482">
        <f>Q1605+Q1610+Q1612</f>
        <v>28010.834</v>
      </c>
      <c r="R1571" s="483">
        <f>R1605+R1610+R1612</f>
        <v>26870.553</v>
      </c>
      <c r="S1571" s="484">
        <f t="shared" si="290"/>
        <v>95.92914298803099</v>
      </c>
    </row>
    <row r="1572" spans="1:19" ht="13.5" hidden="1" thickBot="1">
      <c r="A1572" s="29" t="s">
        <v>94</v>
      </c>
      <c r="B1572" s="30" t="s">
        <v>254</v>
      </c>
      <c r="C1572" s="79" t="s">
        <v>302</v>
      </c>
      <c r="D1572" s="79" t="s">
        <v>219</v>
      </c>
      <c r="E1572" s="171" t="s">
        <v>375</v>
      </c>
      <c r="F1572" s="81" t="s">
        <v>201</v>
      </c>
      <c r="G1572" s="257">
        <f>G1580</f>
        <v>1573.4</v>
      </c>
      <c r="H1572" s="359">
        <f>H1580</f>
        <v>0</v>
      </c>
      <c r="I1572" s="359">
        <f>I1580</f>
        <v>0</v>
      </c>
      <c r="J1572" s="257">
        <f>J1580</f>
        <v>1296.2</v>
      </c>
      <c r="K1572" s="281">
        <f>K1580</f>
        <v>2869.6000000000004</v>
      </c>
      <c r="L1572" s="360"/>
      <c r="M1572" s="55"/>
      <c r="N1572" s="88"/>
      <c r="O1572" s="88"/>
      <c r="P1572" s="290"/>
      <c r="Q1572" s="480"/>
      <c r="R1572" s="480"/>
      <c r="S1572" s="481" t="e">
        <f t="shared" si="290"/>
        <v>#DIV/0!</v>
      </c>
    </row>
    <row r="1573" spans="1:19" ht="0.75" customHeight="1" hidden="1">
      <c r="A1573" s="48" t="s">
        <v>291</v>
      </c>
      <c r="B1573" s="33" t="s">
        <v>254</v>
      </c>
      <c r="C1573" s="34" t="s">
        <v>302</v>
      </c>
      <c r="D1573" s="34" t="s">
        <v>219</v>
      </c>
      <c r="E1573" s="34" t="s">
        <v>292</v>
      </c>
      <c r="F1573" s="36" t="s">
        <v>201</v>
      </c>
      <c r="G1573" s="207">
        <f>G1574+G1577</f>
        <v>0</v>
      </c>
      <c r="H1573" s="49">
        <f>H1574+H1577</f>
        <v>0</v>
      </c>
      <c r="I1573" s="49">
        <f>I1574+I1577</f>
        <v>0</v>
      </c>
      <c r="J1573" s="207">
        <f>J1574+J1577</f>
        <v>0</v>
      </c>
      <c r="K1573" s="302">
        <f>K1574+K1577</f>
        <v>0</v>
      </c>
      <c r="L1573" s="313"/>
      <c r="M1573" s="75"/>
      <c r="N1573" s="96"/>
      <c r="O1573" s="96"/>
      <c r="P1573" s="287"/>
      <c r="Q1573" s="449"/>
      <c r="R1573" s="449"/>
      <c r="S1573" s="465" t="e">
        <f t="shared" si="290"/>
        <v>#DIV/0!</v>
      </c>
    </row>
    <row r="1574" spans="1:19" ht="13.5" hidden="1" thickBot="1">
      <c r="A1574" s="46" t="s">
        <v>390</v>
      </c>
      <c r="B1574" s="71" t="s">
        <v>254</v>
      </c>
      <c r="C1574" s="72" t="s">
        <v>302</v>
      </c>
      <c r="D1574" s="72" t="s">
        <v>219</v>
      </c>
      <c r="E1574" s="72" t="s">
        <v>391</v>
      </c>
      <c r="F1574" s="74" t="s">
        <v>201</v>
      </c>
      <c r="G1574" s="96">
        <f aca="true" t="shared" si="297" ref="G1574:K1575">G1575</f>
        <v>0</v>
      </c>
      <c r="H1574" s="75">
        <f t="shared" si="297"/>
        <v>0</v>
      </c>
      <c r="I1574" s="75">
        <f t="shared" si="297"/>
        <v>0</v>
      </c>
      <c r="J1574" s="96">
        <f t="shared" si="297"/>
        <v>0</v>
      </c>
      <c r="K1574" s="287">
        <f t="shared" si="297"/>
        <v>0</v>
      </c>
      <c r="L1574" s="313"/>
      <c r="M1574" s="75"/>
      <c r="N1574" s="96"/>
      <c r="O1574" s="96"/>
      <c r="P1574" s="287"/>
      <c r="Q1574" s="449"/>
      <c r="R1574" s="449"/>
      <c r="S1574" s="465" t="e">
        <f t="shared" si="290"/>
        <v>#DIV/0!</v>
      </c>
    </row>
    <row r="1575" spans="1:19" ht="13.5" hidden="1" thickBot="1">
      <c r="A1575" s="46" t="s">
        <v>208</v>
      </c>
      <c r="B1575" s="90" t="s">
        <v>254</v>
      </c>
      <c r="C1575" s="91" t="s">
        <v>302</v>
      </c>
      <c r="D1575" s="91" t="s">
        <v>219</v>
      </c>
      <c r="E1575" s="91" t="s">
        <v>391</v>
      </c>
      <c r="F1575" s="93" t="s">
        <v>209</v>
      </c>
      <c r="G1575" s="89">
        <f t="shared" si="297"/>
        <v>0</v>
      </c>
      <c r="H1575" s="82">
        <f t="shared" si="297"/>
        <v>0</v>
      </c>
      <c r="I1575" s="82">
        <f t="shared" si="297"/>
        <v>0</v>
      </c>
      <c r="J1575" s="89">
        <f t="shared" si="297"/>
        <v>0</v>
      </c>
      <c r="K1575" s="275">
        <f t="shared" si="297"/>
        <v>0</v>
      </c>
      <c r="L1575" s="315"/>
      <c r="M1575" s="82"/>
      <c r="N1575" s="89"/>
      <c r="O1575" s="89"/>
      <c r="P1575" s="275"/>
      <c r="Q1575" s="448"/>
      <c r="R1575" s="448"/>
      <c r="S1575" s="465" t="e">
        <f t="shared" si="290"/>
        <v>#DIV/0!</v>
      </c>
    </row>
    <row r="1576" spans="1:19" ht="13.5" hidden="1" thickBot="1">
      <c r="A1576" s="108"/>
      <c r="B1576" s="90"/>
      <c r="C1576" s="91"/>
      <c r="D1576" s="91"/>
      <c r="E1576" s="91"/>
      <c r="F1576" s="93" t="s">
        <v>97</v>
      </c>
      <c r="G1576" s="89"/>
      <c r="H1576" s="82"/>
      <c r="I1576" s="82"/>
      <c r="J1576" s="89"/>
      <c r="K1576" s="275"/>
      <c r="L1576" s="315"/>
      <c r="M1576" s="82"/>
      <c r="N1576" s="89"/>
      <c r="O1576" s="89"/>
      <c r="P1576" s="275"/>
      <c r="Q1576" s="448"/>
      <c r="R1576" s="448"/>
      <c r="S1576" s="465" t="e">
        <f t="shared" si="290"/>
        <v>#DIV/0!</v>
      </c>
    </row>
    <row r="1577" spans="1:19" ht="26.25" hidden="1" thickBot="1">
      <c r="A1577" s="108" t="s">
        <v>360</v>
      </c>
      <c r="B1577" s="90" t="s">
        <v>254</v>
      </c>
      <c r="C1577" s="129" t="s">
        <v>302</v>
      </c>
      <c r="D1577" s="129" t="s">
        <v>219</v>
      </c>
      <c r="E1577" s="129" t="s">
        <v>99</v>
      </c>
      <c r="F1577" s="131" t="s">
        <v>201</v>
      </c>
      <c r="G1577" s="96">
        <f aca="true" t="shared" si="298" ref="G1577:K1578">G1578</f>
        <v>0</v>
      </c>
      <c r="H1577" s="75">
        <f t="shared" si="298"/>
        <v>0</v>
      </c>
      <c r="I1577" s="75">
        <f t="shared" si="298"/>
        <v>0</v>
      </c>
      <c r="J1577" s="96">
        <f t="shared" si="298"/>
        <v>0</v>
      </c>
      <c r="K1577" s="287">
        <f t="shared" si="298"/>
        <v>0</v>
      </c>
      <c r="L1577" s="313"/>
      <c r="M1577" s="75"/>
      <c r="N1577" s="96"/>
      <c r="O1577" s="96"/>
      <c r="P1577" s="287"/>
      <c r="Q1577" s="449"/>
      <c r="R1577" s="449"/>
      <c r="S1577" s="465" t="e">
        <f t="shared" si="290"/>
        <v>#DIV/0!</v>
      </c>
    </row>
    <row r="1578" spans="1:19" ht="13.5" hidden="1" thickBot="1">
      <c r="A1578" s="46" t="s">
        <v>208</v>
      </c>
      <c r="B1578" s="90" t="s">
        <v>254</v>
      </c>
      <c r="C1578" s="91" t="s">
        <v>302</v>
      </c>
      <c r="D1578" s="91" t="s">
        <v>219</v>
      </c>
      <c r="E1578" s="91" t="s">
        <v>99</v>
      </c>
      <c r="F1578" s="93" t="s">
        <v>209</v>
      </c>
      <c r="G1578" s="89">
        <f t="shared" si="298"/>
        <v>0</v>
      </c>
      <c r="H1578" s="82">
        <f t="shared" si="298"/>
        <v>0</v>
      </c>
      <c r="I1578" s="82">
        <f t="shared" si="298"/>
        <v>0</v>
      </c>
      <c r="J1578" s="89">
        <f t="shared" si="298"/>
        <v>0</v>
      </c>
      <c r="K1578" s="275">
        <f t="shared" si="298"/>
        <v>0</v>
      </c>
      <c r="L1578" s="315"/>
      <c r="M1578" s="82"/>
      <c r="N1578" s="89"/>
      <c r="O1578" s="89"/>
      <c r="P1578" s="275"/>
      <c r="Q1578" s="448"/>
      <c r="R1578" s="448"/>
      <c r="S1578" s="465" t="e">
        <f t="shared" si="290"/>
        <v>#DIV/0!</v>
      </c>
    </row>
    <row r="1579" spans="1:19" ht="13.5" hidden="1" thickBot="1">
      <c r="A1579" s="120"/>
      <c r="B1579" s="117"/>
      <c r="C1579" s="118"/>
      <c r="D1579" s="118"/>
      <c r="E1579" s="118"/>
      <c r="F1579" s="119" t="s">
        <v>97</v>
      </c>
      <c r="G1579" s="94"/>
      <c r="H1579" s="87"/>
      <c r="I1579" s="87"/>
      <c r="J1579" s="94"/>
      <c r="K1579" s="291"/>
      <c r="L1579" s="315"/>
      <c r="M1579" s="82"/>
      <c r="N1579" s="89"/>
      <c r="O1579" s="89"/>
      <c r="P1579" s="275"/>
      <c r="Q1579" s="448"/>
      <c r="R1579" s="448"/>
      <c r="S1579" s="465" t="e">
        <f t="shared" si="290"/>
        <v>#DIV/0!</v>
      </c>
    </row>
    <row r="1580" spans="1:19" ht="39" hidden="1" thickBot="1">
      <c r="A1580" s="138" t="s">
        <v>293</v>
      </c>
      <c r="B1580" s="66" t="s">
        <v>254</v>
      </c>
      <c r="C1580" s="67" t="s">
        <v>302</v>
      </c>
      <c r="D1580" s="67" t="s">
        <v>219</v>
      </c>
      <c r="E1580" s="162" t="s">
        <v>100</v>
      </c>
      <c r="F1580" s="69" t="s">
        <v>201</v>
      </c>
      <c r="G1580" s="200">
        <f>G1581</f>
        <v>1573.4</v>
      </c>
      <c r="H1580" s="70">
        <f>H1581</f>
        <v>0</v>
      </c>
      <c r="I1580" s="70">
        <f>I1581</f>
        <v>0</v>
      </c>
      <c r="J1580" s="200">
        <f>J1581</f>
        <v>1296.2</v>
      </c>
      <c r="K1580" s="286">
        <f>K1581</f>
        <v>2869.6000000000004</v>
      </c>
      <c r="L1580" s="313"/>
      <c r="M1580" s="75"/>
      <c r="N1580" s="96"/>
      <c r="O1580" s="96"/>
      <c r="P1580" s="287"/>
      <c r="Q1580" s="449"/>
      <c r="R1580" s="449"/>
      <c r="S1580" s="465" t="e">
        <f t="shared" si="290"/>
        <v>#DIV/0!</v>
      </c>
    </row>
    <row r="1581" spans="1:19" ht="13.5" hidden="1" thickBot="1">
      <c r="A1581" s="105" t="s">
        <v>482</v>
      </c>
      <c r="B1581" s="71" t="s">
        <v>254</v>
      </c>
      <c r="C1581" s="76" t="s">
        <v>302</v>
      </c>
      <c r="D1581" s="76" t="s">
        <v>219</v>
      </c>
      <c r="E1581" s="107" t="s">
        <v>100</v>
      </c>
      <c r="F1581" s="78" t="s">
        <v>483</v>
      </c>
      <c r="G1581" s="89">
        <f>G1609</f>
        <v>1573.4</v>
      </c>
      <c r="H1581" s="82">
        <f>H1609</f>
        <v>0</v>
      </c>
      <c r="I1581" s="82">
        <f>I1609</f>
        <v>0</v>
      </c>
      <c r="J1581" s="89">
        <f>J1609</f>
        <v>1296.2</v>
      </c>
      <c r="K1581" s="275">
        <f>K1609</f>
        <v>2869.6000000000004</v>
      </c>
      <c r="L1581" s="315"/>
      <c r="M1581" s="82"/>
      <c r="N1581" s="89"/>
      <c r="O1581" s="89"/>
      <c r="P1581" s="275"/>
      <c r="Q1581" s="448"/>
      <c r="R1581" s="448"/>
      <c r="S1581" s="465" t="e">
        <f t="shared" si="290"/>
        <v>#DIV/0!</v>
      </c>
    </row>
    <row r="1582" spans="1:19" ht="13.5" customHeight="1" hidden="1">
      <c r="A1582" s="46" t="s">
        <v>210</v>
      </c>
      <c r="B1582" s="71" t="s">
        <v>254</v>
      </c>
      <c r="C1582" s="76" t="s">
        <v>302</v>
      </c>
      <c r="D1582" s="76" t="s">
        <v>219</v>
      </c>
      <c r="E1582" s="168" t="s">
        <v>96</v>
      </c>
      <c r="F1582" s="78" t="s">
        <v>483</v>
      </c>
      <c r="G1582" s="96">
        <f aca="true" t="shared" si="299" ref="G1582:K1583">G1583</f>
        <v>0</v>
      </c>
      <c r="H1582" s="75">
        <f t="shared" si="299"/>
        <v>0</v>
      </c>
      <c r="I1582" s="75">
        <f t="shared" si="299"/>
        <v>0</v>
      </c>
      <c r="J1582" s="96">
        <f t="shared" si="299"/>
        <v>0</v>
      </c>
      <c r="K1582" s="287">
        <f t="shared" si="299"/>
        <v>0</v>
      </c>
      <c r="L1582" s="313"/>
      <c r="M1582" s="75"/>
      <c r="N1582" s="96"/>
      <c r="O1582" s="96"/>
      <c r="P1582" s="287"/>
      <c r="Q1582" s="449"/>
      <c r="R1582" s="449"/>
      <c r="S1582" s="465" t="e">
        <f t="shared" si="290"/>
        <v>#DIV/0!</v>
      </c>
    </row>
    <row r="1583" spans="1:19" ht="13.5" hidden="1" thickBot="1">
      <c r="A1583" s="46" t="s">
        <v>90</v>
      </c>
      <c r="B1583" s="71" t="s">
        <v>254</v>
      </c>
      <c r="C1583" s="76" t="s">
        <v>302</v>
      </c>
      <c r="D1583" s="76" t="s">
        <v>219</v>
      </c>
      <c r="E1583" s="168" t="s">
        <v>96</v>
      </c>
      <c r="F1583" s="78" t="s">
        <v>483</v>
      </c>
      <c r="G1583" s="96">
        <f t="shared" si="299"/>
        <v>0</v>
      </c>
      <c r="H1583" s="75">
        <f t="shared" si="299"/>
        <v>0</v>
      </c>
      <c r="I1583" s="75">
        <f t="shared" si="299"/>
        <v>0</v>
      </c>
      <c r="J1583" s="96">
        <f t="shared" si="299"/>
        <v>0</v>
      </c>
      <c r="K1583" s="287">
        <f t="shared" si="299"/>
        <v>0</v>
      </c>
      <c r="L1583" s="313"/>
      <c r="M1583" s="75"/>
      <c r="N1583" s="96"/>
      <c r="O1583" s="96"/>
      <c r="P1583" s="287"/>
      <c r="Q1583" s="449"/>
      <c r="R1583" s="449"/>
      <c r="S1583" s="465" t="e">
        <f t="shared" si="290"/>
        <v>#DIV/0!</v>
      </c>
    </row>
    <row r="1584" spans="1:19" ht="26.25" hidden="1" thickBot="1">
      <c r="A1584" s="46" t="s">
        <v>91</v>
      </c>
      <c r="B1584" s="71" t="s">
        <v>254</v>
      </c>
      <c r="C1584" s="76" t="s">
        <v>302</v>
      </c>
      <c r="D1584" s="76" t="s">
        <v>219</v>
      </c>
      <c r="E1584" s="168" t="s">
        <v>96</v>
      </c>
      <c r="F1584" s="78" t="s">
        <v>483</v>
      </c>
      <c r="G1584" s="96"/>
      <c r="H1584" s="75"/>
      <c r="I1584" s="75"/>
      <c r="J1584" s="96"/>
      <c r="K1584" s="287"/>
      <c r="L1584" s="313"/>
      <c r="M1584" s="75"/>
      <c r="N1584" s="96"/>
      <c r="O1584" s="96"/>
      <c r="P1584" s="287"/>
      <c r="Q1584" s="449"/>
      <c r="R1584" s="449"/>
      <c r="S1584" s="465" t="e">
        <f t="shared" si="290"/>
        <v>#DIV/0!</v>
      </c>
    </row>
    <row r="1585" spans="1:19" ht="13.5" hidden="1" thickBot="1">
      <c r="A1585" s="46" t="s">
        <v>82</v>
      </c>
      <c r="B1585" s="71"/>
      <c r="C1585" s="72" t="s">
        <v>302</v>
      </c>
      <c r="D1585" s="72" t="s">
        <v>83</v>
      </c>
      <c r="E1585" s="72" t="s">
        <v>200</v>
      </c>
      <c r="F1585" s="74" t="s">
        <v>263</v>
      </c>
      <c r="G1585" s="96">
        <f aca="true" t="shared" si="300" ref="G1585:K1587">G1586</f>
        <v>0</v>
      </c>
      <c r="H1585" s="75">
        <f t="shared" si="300"/>
        <v>0</v>
      </c>
      <c r="I1585" s="75">
        <f t="shared" si="300"/>
        <v>0</v>
      </c>
      <c r="J1585" s="96">
        <f t="shared" si="300"/>
        <v>0</v>
      </c>
      <c r="K1585" s="287">
        <f t="shared" si="300"/>
        <v>0</v>
      </c>
      <c r="L1585" s="313"/>
      <c r="M1585" s="75"/>
      <c r="N1585" s="96"/>
      <c r="O1585" s="96"/>
      <c r="P1585" s="287"/>
      <c r="Q1585" s="449"/>
      <c r="R1585" s="449"/>
      <c r="S1585" s="465" t="e">
        <f t="shared" si="290"/>
        <v>#DIV/0!</v>
      </c>
    </row>
    <row r="1586" spans="1:19" ht="13.5" hidden="1" thickBot="1">
      <c r="A1586" s="46" t="s">
        <v>210</v>
      </c>
      <c r="B1586" s="71"/>
      <c r="C1586" s="72" t="s">
        <v>302</v>
      </c>
      <c r="D1586" s="72" t="s">
        <v>83</v>
      </c>
      <c r="E1586" s="72" t="s">
        <v>200</v>
      </c>
      <c r="F1586" s="74" t="s">
        <v>263</v>
      </c>
      <c r="G1586" s="96">
        <f t="shared" si="300"/>
        <v>0</v>
      </c>
      <c r="H1586" s="75">
        <f t="shared" si="300"/>
        <v>0</v>
      </c>
      <c r="I1586" s="75">
        <f t="shared" si="300"/>
        <v>0</v>
      </c>
      <c r="J1586" s="96">
        <f t="shared" si="300"/>
        <v>0</v>
      </c>
      <c r="K1586" s="287">
        <f t="shared" si="300"/>
        <v>0</v>
      </c>
      <c r="L1586" s="313"/>
      <c r="M1586" s="75"/>
      <c r="N1586" s="96"/>
      <c r="O1586" s="96"/>
      <c r="P1586" s="287"/>
      <c r="Q1586" s="449"/>
      <c r="R1586" s="449"/>
      <c r="S1586" s="465" t="e">
        <f t="shared" si="290"/>
        <v>#DIV/0!</v>
      </c>
    </row>
    <row r="1587" spans="1:19" ht="13.5" hidden="1" thickBot="1">
      <c r="A1587" s="46" t="s">
        <v>90</v>
      </c>
      <c r="B1587" s="71"/>
      <c r="C1587" s="72" t="s">
        <v>302</v>
      </c>
      <c r="D1587" s="72" t="s">
        <v>83</v>
      </c>
      <c r="E1587" s="72" t="s">
        <v>200</v>
      </c>
      <c r="F1587" s="74" t="s">
        <v>263</v>
      </c>
      <c r="G1587" s="96">
        <f t="shared" si="300"/>
        <v>0</v>
      </c>
      <c r="H1587" s="75">
        <f t="shared" si="300"/>
        <v>0</v>
      </c>
      <c r="I1587" s="75">
        <f t="shared" si="300"/>
        <v>0</v>
      </c>
      <c r="J1587" s="96">
        <f t="shared" si="300"/>
        <v>0</v>
      </c>
      <c r="K1587" s="287">
        <f t="shared" si="300"/>
        <v>0</v>
      </c>
      <c r="L1587" s="313"/>
      <c r="M1587" s="75"/>
      <c r="N1587" s="96"/>
      <c r="O1587" s="96"/>
      <c r="P1587" s="287"/>
      <c r="Q1587" s="449"/>
      <c r="R1587" s="449"/>
      <c r="S1587" s="465" t="e">
        <f t="shared" si="290"/>
        <v>#DIV/0!</v>
      </c>
    </row>
    <row r="1588" spans="1:19" ht="26.25" hidden="1" thickBot="1">
      <c r="A1588" s="46" t="s">
        <v>91</v>
      </c>
      <c r="B1588" s="71"/>
      <c r="C1588" s="72" t="s">
        <v>302</v>
      </c>
      <c r="D1588" s="72" t="s">
        <v>83</v>
      </c>
      <c r="E1588" s="72" t="s">
        <v>200</v>
      </c>
      <c r="F1588" s="74" t="s">
        <v>263</v>
      </c>
      <c r="G1588" s="96"/>
      <c r="H1588" s="75"/>
      <c r="I1588" s="75"/>
      <c r="J1588" s="96"/>
      <c r="K1588" s="287"/>
      <c r="L1588" s="313"/>
      <c r="M1588" s="75"/>
      <c r="N1588" s="96"/>
      <c r="O1588" s="96"/>
      <c r="P1588" s="287"/>
      <c r="Q1588" s="449"/>
      <c r="R1588" s="449"/>
      <c r="S1588" s="465" t="e">
        <f t="shared" si="290"/>
        <v>#DIV/0!</v>
      </c>
    </row>
    <row r="1589" spans="1:19" ht="13.5" hidden="1" thickBot="1">
      <c r="A1589" s="46" t="s">
        <v>290</v>
      </c>
      <c r="B1589" s="71"/>
      <c r="C1589" s="76"/>
      <c r="D1589" s="76"/>
      <c r="E1589" s="168"/>
      <c r="F1589" s="78"/>
      <c r="G1589" s="96">
        <f>G1588</f>
        <v>0</v>
      </c>
      <c r="H1589" s="75">
        <f>H1588</f>
        <v>0</v>
      </c>
      <c r="I1589" s="75">
        <f>I1588</f>
        <v>0</v>
      </c>
      <c r="J1589" s="96">
        <f>J1588</f>
        <v>0</v>
      </c>
      <c r="K1589" s="287">
        <f>K1588</f>
        <v>0</v>
      </c>
      <c r="L1589" s="313"/>
      <c r="M1589" s="75"/>
      <c r="N1589" s="96"/>
      <c r="O1589" s="96"/>
      <c r="P1589" s="287"/>
      <c r="Q1589" s="449"/>
      <c r="R1589" s="449"/>
      <c r="S1589" s="465" t="e">
        <f t="shared" si="290"/>
        <v>#DIV/0!</v>
      </c>
    </row>
    <row r="1590" spans="1:19" ht="13.5" hidden="1" thickBot="1">
      <c r="A1590" s="46"/>
      <c r="B1590" s="71"/>
      <c r="C1590" s="76"/>
      <c r="D1590" s="76"/>
      <c r="E1590" s="168"/>
      <c r="F1590" s="78"/>
      <c r="G1590" s="96"/>
      <c r="H1590" s="75"/>
      <c r="I1590" s="75"/>
      <c r="J1590" s="96"/>
      <c r="K1590" s="287"/>
      <c r="L1590" s="313"/>
      <c r="M1590" s="75"/>
      <c r="N1590" s="96"/>
      <c r="O1590" s="96"/>
      <c r="P1590" s="287"/>
      <c r="Q1590" s="449"/>
      <c r="R1590" s="449"/>
      <c r="S1590" s="465" t="e">
        <f t="shared" si="290"/>
        <v>#DIV/0!</v>
      </c>
    </row>
    <row r="1591" spans="1:19" ht="13.5" hidden="1" thickBot="1">
      <c r="A1591" s="46"/>
      <c r="B1591" s="71"/>
      <c r="C1591" s="76"/>
      <c r="D1591" s="76"/>
      <c r="E1591" s="168"/>
      <c r="F1591" s="78"/>
      <c r="G1591" s="96"/>
      <c r="H1591" s="75"/>
      <c r="I1591" s="75"/>
      <c r="J1591" s="96"/>
      <c r="K1591" s="287"/>
      <c r="L1591" s="313"/>
      <c r="M1591" s="75"/>
      <c r="N1591" s="96"/>
      <c r="O1591" s="96"/>
      <c r="P1591" s="287"/>
      <c r="Q1591" s="449"/>
      <c r="R1591" s="449"/>
      <c r="S1591" s="465" t="e">
        <f t="shared" si="290"/>
        <v>#DIV/0!</v>
      </c>
    </row>
    <row r="1592" spans="1:19" ht="13.5" hidden="1" thickBot="1">
      <c r="A1592" s="46"/>
      <c r="B1592" s="71"/>
      <c r="C1592" s="76"/>
      <c r="D1592" s="76"/>
      <c r="E1592" s="168"/>
      <c r="F1592" s="78"/>
      <c r="G1592" s="96"/>
      <c r="H1592" s="75"/>
      <c r="I1592" s="75"/>
      <c r="J1592" s="96"/>
      <c r="K1592" s="287"/>
      <c r="L1592" s="313"/>
      <c r="M1592" s="75"/>
      <c r="N1592" s="96"/>
      <c r="O1592" s="96"/>
      <c r="P1592" s="287"/>
      <c r="Q1592" s="449"/>
      <c r="R1592" s="449"/>
      <c r="S1592" s="465" t="e">
        <f t="shared" si="290"/>
        <v>#DIV/0!</v>
      </c>
    </row>
    <row r="1593" spans="1:19" ht="13.5" hidden="1" thickBot="1">
      <c r="A1593" s="46"/>
      <c r="B1593" s="71"/>
      <c r="C1593" s="76"/>
      <c r="D1593" s="76"/>
      <c r="E1593" s="168"/>
      <c r="F1593" s="78"/>
      <c r="G1593" s="96"/>
      <c r="H1593" s="75"/>
      <c r="I1593" s="75"/>
      <c r="J1593" s="96"/>
      <c r="K1593" s="287"/>
      <c r="L1593" s="313"/>
      <c r="M1593" s="75"/>
      <c r="N1593" s="96"/>
      <c r="O1593" s="96"/>
      <c r="P1593" s="287"/>
      <c r="Q1593" s="449"/>
      <c r="R1593" s="449"/>
      <c r="S1593" s="465" t="e">
        <f t="shared" si="290"/>
        <v>#DIV/0!</v>
      </c>
    </row>
    <row r="1594" spans="1:19" ht="13.5" hidden="1" thickBot="1">
      <c r="A1594" s="46"/>
      <c r="B1594" s="71"/>
      <c r="C1594" s="76"/>
      <c r="D1594" s="76"/>
      <c r="E1594" s="168"/>
      <c r="F1594" s="78"/>
      <c r="G1594" s="96"/>
      <c r="H1594" s="75"/>
      <c r="I1594" s="75"/>
      <c r="J1594" s="96"/>
      <c r="K1594" s="287"/>
      <c r="L1594" s="313"/>
      <c r="M1594" s="75"/>
      <c r="N1594" s="96"/>
      <c r="O1594" s="96"/>
      <c r="P1594" s="287"/>
      <c r="Q1594" s="449"/>
      <c r="R1594" s="449"/>
      <c r="S1594" s="465" t="e">
        <f t="shared" si="290"/>
        <v>#DIV/0!</v>
      </c>
    </row>
    <row r="1595" spans="1:19" ht="13.5" hidden="1" thickBot="1">
      <c r="A1595" s="46"/>
      <c r="B1595" s="71"/>
      <c r="C1595" s="76"/>
      <c r="D1595" s="76"/>
      <c r="E1595" s="168"/>
      <c r="F1595" s="78"/>
      <c r="G1595" s="96"/>
      <c r="H1595" s="75"/>
      <c r="I1595" s="75"/>
      <c r="J1595" s="96"/>
      <c r="K1595" s="287"/>
      <c r="L1595" s="313"/>
      <c r="M1595" s="75"/>
      <c r="N1595" s="96"/>
      <c r="O1595" s="96"/>
      <c r="P1595" s="287"/>
      <c r="Q1595" s="449"/>
      <c r="R1595" s="449"/>
      <c r="S1595" s="465" t="e">
        <f t="shared" si="290"/>
        <v>#DIV/0!</v>
      </c>
    </row>
    <row r="1596" spans="1:19" ht="13.5" hidden="1" thickBot="1">
      <c r="A1596" s="46"/>
      <c r="B1596" s="71"/>
      <c r="C1596" s="76"/>
      <c r="D1596" s="76"/>
      <c r="E1596" s="168"/>
      <c r="F1596" s="78"/>
      <c r="G1596" s="96"/>
      <c r="H1596" s="75"/>
      <c r="I1596" s="75"/>
      <c r="J1596" s="96"/>
      <c r="K1596" s="287"/>
      <c r="L1596" s="313"/>
      <c r="M1596" s="75"/>
      <c r="N1596" s="96"/>
      <c r="O1596" s="96"/>
      <c r="P1596" s="287"/>
      <c r="Q1596" s="449"/>
      <c r="R1596" s="449"/>
      <c r="S1596" s="465" t="e">
        <f t="shared" si="290"/>
        <v>#DIV/0!</v>
      </c>
    </row>
    <row r="1597" spans="1:19" ht="13.5" hidden="1" thickBot="1">
      <c r="A1597" s="46"/>
      <c r="B1597" s="71"/>
      <c r="C1597" s="76"/>
      <c r="D1597" s="76"/>
      <c r="E1597" s="168"/>
      <c r="F1597" s="78"/>
      <c r="G1597" s="96"/>
      <c r="H1597" s="75"/>
      <c r="I1597" s="75"/>
      <c r="J1597" s="96"/>
      <c r="K1597" s="287"/>
      <c r="L1597" s="313"/>
      <c r="M1597" s="75"/>
      <c r="N1597" s="96"/>
      <c r="O1597" s="96"/>
      <c r="P1597" s="287"/>
      <c r="Q1597" s="449"/>
      <c r="R1597" s="449"/>
      <c r="S1597" s="465" t="e">
        <f t="shared" si="290"/>
        <v>#DIV/0!</v>
      </c>
    </row>
    <row r="1598" spans="1:19" ht="13.5" hidden="1" thickBot="1">
      <c r="A1598" s="46"/>
      <c r="B1598" s="71"/>
      <c r="C1598" s="76"/>
      <c r="D1598" s="76"/>
      <c r="E1598" s="168"/>
      <c r="F1598" s="78"/>
      <c r="G1598" s="96"/>
      <c r="H1598" s="75"/>
      <c r="I1598" s="75"/>
      <c r="J1598" s="96"/>
      <c r="K1598" s="287"/>
      <c r="L1598" s="313"/>
      <c r="M1598" s="75"/>
      <c r="N1598" s="96"/>
      <c r="O1598" s="96"/>
      <c r="P1598" s="287"/>
      <c r="Q1598" s="449"/>
      <c r="R1598" s="449"/>
      <c r="S1598" s="465" t="e">
        <f t="shared" si="290"/>
        <v>#DIV/0!</v>
      </c>
    </row>
    <row r="1599" spans="1:19" ht="13.5" hidden="1" thickBot="1">
      <c r="A1599" s="46"/>
      <c r="B1599" s="71"/>
      <c r="C1599" s="76"/>
      <c r="D1599" s="76"/>
      <c r="E1599" s="168"/>
      <c r="F1599" s="78"/>
      <c r="G1599" s="96"/>
      <c r="H1599" s="75"/>
      <c r="I1599" s="75"/>
      <c r="J1599" s="96"/>
      <c r="K1599" s="287"/>
      <c r="L1599" s="313"/>
      <c r="M1599" s="75"/>
      <c r="N1599" s="96"/>
      <c r="O1599" s="96"/>
      <c r="P1599" s="287"/>
      <c r="Q1599" s="449"/>
      <c r="R1599" s="449"/>
      <c r="S1599" s="465" t="e">
        <f t="shared" si="290"/>
        <v>#DIV/0!</v>
      </c>
    </row>
    <row r="1600" spans="1:19" ht="13.5" hidden="1" thickBot="1">
      <c r="A1600" s="46"/>
      <c r="B1600" s="71"/>
      <c r="C1600" s="76"/>
      <c r="D1600" s="76"/>
      <c r="E1600" s="168"/>
      <c r="F1600" s="78"/>
      <c r="G1600" s="96"/>
      <c r="H1600" s="75"/>
      <c r="I1600" s="75"/>
      <c r="J1600" s="96"/>
      <c r="K1600" s="287"/>
      <c r="L1600" s="313"/>
      <c r="M1600" s="75"/>
      <c r="N1600" s="96"/>
      <c r="O1600" s="96"/>
      <c r="P1600" s="287"/>
      <c r="Q1600" s="449"/>
      <c r="R1600" s="449"/>
      <c r="S1600" s="465" t="e">
        <f t="shared" si="290"/>
        <v>#DIV/0!</v>
      </c>
    </row>
    <row r="1601" spans="1:19" ht="13.5" hidden="1" thickBot="1">
      <c r="A1601" s="46"/>
      <c r="B1601" s="71"/>
      <c r="C1601" s="76"/>
      <c r="D1601" s="76"/>
      <c r="E1601" s="168"/>
      <c r="F1601" s="78"/>
      <c r="G1601" s="96"/>
      <c r="H1601" s="75"/>
      <c r="I1601" s="75"/>
      <c r="J1601" s="96"/>
      <c r="K1601" s="287"/>
      <c r="L1601" s="313"/>
      <c r="M1601" s="75"/>
      <c r="N1601" s="96"/>
      <c r="O1601" s="96"/>
      <c r="P1601" s="287"/>
      <c r="Q1601" s="449"/>
      <c r="R1601" s="449"/>
      <c r="S1601" s="465" t="e">
        <f t="shared" si="290"/>
        <v>#DIV/0!</v>
      </c>
    </row>
    <row r="1602" spans="1:19" ht="13.5" hidden="1" thickBot="1">
      <c r="A1602" s="46"/>
      <c r="B1602" s="71"/>
      <c r="C1602" s="76"/>
      <c r="D1602" s="76"/>
      <c r="E1602" s="168"/>
      <c r="F1602" s="78"/>
      <c r="G1602" s="96"/>
      <c r="H1602" s="75"/>
      <c r="I1602" s="75"/>
      <c r="J1602" s="96"/>
      <c r="K1602" s="287"/>
      <c r="L1602" s="313"/>
      <c r="M1602" s="75"/>
      <c r="N1602" s="96"/>
      <c r="O1602" s="96"/>
      <c r="P1602" s="287"/>
      <c r="Q1602" s="449"/>
      <c r="R1602" s="449"/>
      <c r="S1602" s="465" t="e">
        <f t="shared" si="290"/>
        <v>#DIV/0!</v>
      </c>
    </row>
    <row r="1603" spans="1:19" ht="13.5" hidden="1" thickBot="1">
      <c r="A1603" s="46"/>
      <c r="B1603" s="71"/>
      <c r="C1603" s="76"/>
      <c r="D1603" s="76"/>
      <c r="E1603" s="168"/>
      <c r="F1603" s="78"/>
      <c r="G1603" s="96"/>
      <c r="H1603" s="75"/>
      <c r="I1603" s="75"/>
      <c r="J1603" s="96"/>
      <c r="K1603" s="287"/>
      <c r="L1603" s="313"/>
      <c r="M1603" s="75"/>
      <c r="N1603" s="96"/>
      <c r="O1603" s="96"/>
      <c r="P1603" s="287"/>
      <c r="Q1603" s="449"/>
      <c r="R1603" s="449"/>
      <c r="S1603" s="465" t="e">
        <f t="shared" si="290"/>
        <v>#DIV/0!</v>
      </c>
    </row>
    <row r="1604" spans="1:19" ht="13.5" hidden="1" thickBot="1">
      <c r="A1604" s="23" t="s">
        <v>98</v>
      </c>
      <c r="B1604" s="24" t="s">
        <v>254</v>
      </c>
      <c r="C1604" s="25" t="s">
        <v>302</v>
      </c>
      <c r="D1604" s="25" t="s">
        <v>219</v>
      </c>
      <c r="E1604" s="25"/>
      <c r="F1604" s="27"/>
      <c r="G1604" s="201">
        <f>G1605+G1612+G1610</f>
        <v>1573.4</v>
      </c>
      <c r="H1604" s="201">
        <f>H1605+H1612+H1610</f>
        <v>0</v>
      </c>
      <c r="I1604" s="201">
        <f>I1605+I1612+I1610</f>
        <v>0</v>
      </c>
      <c r="J1604" s="201">
        <f>J1605+J1612+J1610</f>
        <v>14522.607</v>
      </c>
      <c r="K1604" s="289">
        <f>K1605+K1612+K1610</f>
        <v>16096.007000000001</v>
      </c>
      <c r="L1604" s="313"/>
      <c r="M1604" s="75"/>
      <c r="N1604" s="96"/>
      <c r="O1604" s="96"/>
      <c r="P1604" s="287"/>
      <c r="Q1604" s="449"/>
      <c r="R1604" s="449"/>
      <c r="S1604" s="465" t="e">
        <f t="shared" si="290"/>
        <v>#DIV/0!</v>
      </c>
    </row>
    <row r="1605" spans="1:19" ht="16.5" customHeight="1">
      <c r="A1605" s="48" t="s">
        <v>541</v>
      </c>
      <c r="B1605" s="33" t="s">
        <v>254</v>
      </c>
      <c r="C1605" s="34" t="s">
        <v>302</v>
      </c>
      <c r="D1605" s="34" t="s">
        <v>219</v>
      </c>
      <c r="E1605" s="34" t="s">
        <v>329</v>
      </c>
      <c r="F1605" s="36"/>
      <c r="G1605" s="207">
        <f aca="true" t="shared" si="301" ref="G1605:N1605">G1608+G1606</f>
        <v>1573.4</v>
      </c>
      <c r="H1605" s="207">
        <f t="shared" si="301"/>
        <v>0</v>
      </c>
      <c r="I1605" s="207">
        <f t="shared" si="301"/>
        <v>0</v>
      </c>
      <c r="J1605" s="207">
        <f t="shared" si="301"/>
        <v>6796.2</v>
      </c>
      <c r="K1605" s="302">
        <f t="shared" si="301"/>
        <v>8369.6</v>
      </c>
      <c r="L1605" s="302">
        <f t="shared" si="301"/>
        <v>0</v>
      </c>
      <c r="M1605" s="302">
        <f t="shared" si="301"/>
        <v>1900.2</v>
      </c>
      <c r="N1605" s="302">
        <f t="shared" si="301"/>
        <v>10269.8</v>
      </c>
      <c r="O1605" s="302">
        <f>O1608+O1606</f>
        <v>0</v>
      </c>
      <c r="P1605" s="302">
        <f>P1608+P1606</f>
        <v>1039.2</v>
      </c>
      <c r="Q1605" s="449">
        <f>Q1608+Q1606</f>
        <v>11309</v>
      </c>
      <c r="R1605" s="449">
        <f>R1608+R1606</f>
        <v>11309</v>
      </c>
      <c r="S1605" s="465">
        <f t="shared" si="290"/>
        <v>100</v>
      </c>
    </row>
    <row r="1606" spans="1:19" ht="28.5" customHeight="1">
      <c r="A1606" s="46" t="s">
        <v>505</v>
      </c>
      <c r="B1606" s="71" t="s">
        <v>254</v>
      </c>
      <c r="C1606" s="72" t="s">
        <v>302</v>
      </c>
      <c r="D1606" s="72" t="s">
        <v>219</v>
      </c>
      <c r="E1606" s="72" t="s">
        <v>503</v>
      </c>
      <c r="F1606" s="78"/>
      <c r="G1606" s="96">
        <f aca="true" t="shared" si="302" ref="G1606:R1606">G1607</f>
        <v>0</v>
      </c>
      <c r="H1606" s="96">
        <f t="shared" si="302"/>
        <v>0</v>
      </c>
      <c r="I1606" s="96">
        <f t="shared" si="302"/>
        <v>0</v>
      </c>
      <c r="J1606" s="96">
        <f t="shared" si="302"/>
        <v>5500</v>
      </c>
      <c r="K1606" s="287">
        <f t="shared" si="302"/>
        <v>5500</v>
      </c>
      <c r="L1606" s="287">
        <f t="shared" si="302"/>
        <v>0</v>
      </c>
      <c r="M1606" s="287">
        <f t="shared" si="302"/>
        <v>165</v>
      </c>
      <c r="N1606" s="287">
        <f t="shared" si="302"/>
        <v>5665</v>
      </c>
      <c r="O1606" s="287">
        <f t="shared" si="302"/>
        <v>0</v>
      </c>
      <c r="P1606" s="287">
        <f t="shared" si="302"/>
        <v>0</v>
      </c>
      <c r="Q1606" s="449">
        <f t="shared" si="302"/>
        <v>5665</v>
      </c>
      <c r="R1606" s="449">
        <f t="shared" si="302"/>
        <v>5665</v>
      </c>
      <c r="S1606" s="465">
        <f t="shared" si="290"/>
        <v>100</v>
      </c>
    </row>
    <row r="1607" spans="1:19" ht="15.75" customHeight="1">
      <c r="A1607" s="192" t="s">
        <v>482</v>
      </c>
      <c r="B1607" s="220" t="s">
        <v>254</v>
      </c>
      <c r="C1607" s="79" t="s">
        <v>302</v>
      </c>
      <c r="D1607" s="79" t="s">
        <v>219</v>
      </c>
      <c r="E1607" s="79" t="s">
        <v>503</v>
      </c>
      <c r="F1607" s="81" t="s">
        <v>121</v>
      </c>
      <c r="G1607" s="257"/>
      <c r="H1607" s="257"/>
      <c r="I1607" s="257"/>
      <c r="J1607" s="257">
        <v>5500</v>
      </c>
      <c r="K1607" s="174">
        <v>5500</v>
      </c>
      <c r="L1607" s="407"/>
      <c r="M1607" s="134">
        <v>165</v>
      </c>
      <c r="N1607" s="205">
        <f>K1607+L1607+M1607</f>
        <v>5665</v>
      </c>
      <c r="O1607" s="205"/>
      <c r="P1607" s="174"/>
      <c r="Q1607" s="448">
        <f>N1607+O1607+P1607</f>
        <v>5665</v>
      </c>
      <c r="R1607" s="448">
        <v>5665</v>
      </c>
      <c r="S1607" s="444">
        <f t="shared" si="290"/>
        <v>100</v>
      </c>
    </row>
    <row r="1608" spans="1:19" ht="44.25" customHeight="1">
      <c r="A1608" s="46" t="s">
        <v>132</v>
      </c>
      <c r="B1608" s="71" t="s">
        <v>254</v>
      </c>
      <c r="C1608" s="72" t="s">
        <v>302</v>
      </c>
      <c r="D1608" s="72" t="s">
        <v>219</v>
      </c>
      <c r="E1608" s="72" t="s">
        <v>100</v>
      </c>
      <c r="F1608" s="74"/>
      <c r="G1608" s="96">
        <f>G1609</f>
        <v>1573.4</v>
      </c>
      <c r="H1608" s="75"/>
      <c r="I1608" s="75"/>
      <c r="J1608" s="96">
        <f aca="true" t="shared" si="303" ref="J1608:R1608">J1609</f>
        <v>1296.2</v>
      </c>
      <c r="K1608" s="287">
        <f t="shared" si="303"/>
        <v>2869.6000000000004</v>
      </c>
      <c r="L1608" s="287">
        <f t="shared" si="303"/>
        <v>0</v>
      </c>
      <c r="M1608" s="287">
        <f t="shared" si="303"/>
        <v>1735.2</v>
      </c>
      <c r="N1608" s="287">
        <f t="shared" si="303"/>
        <v>4604.8</v>
      </c>
      <c r="O1608" s="287">
        <f t="shared" si="303"/>
        <v>0</v>
      </c>
      <c r="P1608" s="287">
        <f t="shared" si="303"/>
        <v>1039.2</v>
      </c>
      <c r="Q1608" s="449">
        <f t="shared" si="303"/>
        <v>5644</v>
      </c>
      <c r="R1608" s="449">
        <f t="shared" si="303"/>
        <v>5644</v>
      </c>
      <c r="S1608" s="465">
        <f t="shared" si="290"/>
        <v>100</v>
      </c>
    </row>
    <row r="1609" spans="1:19" ht="15.75" customHeight="1" thickBot="1">
      <c r="A1609" s="194" t="s">
        <v>482</v>
      </c>
      <c r="B1609" s="210" t="s">
        <v>254</v>
      </c>
      <c r="C1609" s="118" t="s">
        <v>302</v>
      </c>
      <c r="D1609" s="118" t="s">
        <v>219</v>
      </c>
      <c r="E1609" s="118" t="s">
        <v>100</v>
      </c>
      <c r="F1609" s="119" t="s">
        <v>121</v>
      </c>
      <c r="G1609" s="94">
        <v>1573.4</v>
      </c>
      <c r="H1609" s="87"/>
      <c r="I1609" s="87"/>
      <c r="J1609" s="94">
        <v>1296.2</v>
      </c>
      <c r="K1609" s="291">
        <f>G1609+J1609</f>
        <v>2869.6000000000004</v>
      </c>
      <c r="L1609" s="329"/>
      <c r="M1609" s="87">
        <v>1735.2</v>
      </c>
      <c r="N1609" s="94">
        <f>K1609+L1609+M1609</f>
        <v>4604.8</v>
      </c>
      <c r="O1609" s="94"/>
      <c r="P1609" s="291">
        <v>1039.2</v>
      </c>
      <c r="Q1609" s="460">
        <f>N1609+O1609+P1609</f>
        <v>5644</v>
      </c>
      <c r="R1609" s="460">
        <v>5644</v>
      </c>
      <c r="S1609" s="491">
        <f t="shared" si="290"/>
        <v>100</v>
      </c>
    </row>
    <row r="1610" spans="1:19" ht="16.5" customHeight="1">
      <c r="A1610" s="103" t="s">
        <v>511</v>
      </c>
      <c r="B1610" s="99" t="s">
        <v>254</v>
      </c>
      <c r="C1610" s="112" t="s">
        <v>302</v>
      </c>
      <c r="D1610" s="112" t="s">
        <v>219</v>
      </c>
      <c r="E1610" s="112" t="s">
        <v>508</v>
      </c>
      <c r="F1610" s="104"/>
      <c r="G1610" s="88">
        <f aca="true" t="shared" si="304" ref="G1610:R1610">G1611</f>
        <v>0</v>
      </c>
      <c r="H1610" s="88">
        <f t="shared" si="304"/>
        <v>0</v>
      </c>
      <c r="I1610" s="88">
        <f t="shared" si="304"/>
        <v>0</v>
      </c>
      <c r="J1610" s="88">
        <f t="shared" si="304"/>
        <v>1800</v>
      </c>
      <c r="K1610" s="290">
        <f t="shared" si="304"/>
        <v>1800</v>
      </c>
      <c r="L1610" s="290">
        <f t="shared" si="304"/>
        <v>0.04</v>
      </c>
      <c r="M1610" s="290">
        <f t="shared" si="304"/>
        <v>0</v>
      </c>
      <c r="N1610" s="290">
        <f t="shared" si="304"/>
        <v>1800.04</v>
      </c>
      <c r="O1610" s="290">
        <f t="shared" si="304"/>
        <v>0</v>
      </c>
      <c r="P1610" s="290">
        <f t="shared" si="304"/>
        <v>0</v>
      </c>
      <c r="Q1610" s="471">
        <f t="shared" si="304"/>
        <v>1800.04</v>
      </c>
      <c r="R1610" s="472">
        <f t="shared" si="304"/>
        <v>1800.04</v>
      </c>
      <c r="S1610" s="473">
        <f t="shared" si="290"/>
        <v>100</v>
      </c>
    </row>
    <row r="1611" spans="1:19" ht="15.75" customHeight="1" thickBot="1">
      <c r="A1611" s="194" t="s">
        <v>482</v>
      </c>
      <c r="B1611" s="210" t="s">
        <v>254</v>
      </c>
      <c r="C1611" s="118" t="s">
        <v>302</v>
      </c>
      <c r="D1611" s="118" t="s">
        <v>219</v>
      </c>
      <c r="E1611" s="118" t="s">
        <v>508</v>
      </c>
      <c r="F1611" s="119" t="s">
        <v>121</v>
      </c>
      <c r="G1611" s="94"/>
      <c r="H1611" s="94"/>
      <c r="I1611" s="94"/>
      <c r="J1611" s="94">
        <v>1800</v>
      </c>
      <c r="K1611" s="291">
        <f>G1611+J1611</f>
        <v>1800</v>
      </c>
      <c r="L1611" s="329">
        <v>0.04</v>
      </c>
      <c r="M1611" s="87"/>
      <c r="N1611" s="94">
        <f>K1611+L1611+M1611</f>
        <v>1800.04</v>
      </c>
      <c r="O1611" s="94"/>
      <c r="P1611" s="291"/>
      <c r="Q1611" s="488">
        <f>N1611+O1611+P1611</f>
        <v>1800.04</v>
      </c>
      <c r="R1611" s="489">
        <v>1800.04</v>
      </c>
      <c r="S1611" s="477">
        <f t="shared" si="290"/>
        <v>100</v>
      </c>
    </row>
    <row r="1612" spans="1:19" ht="16.5" customHeight="1">
      <c r="A1612" s="388" t="s">
        <v>291</v>
      </c>
      <c r="B1612" s="248" t="s">
        <v>254</v>
      </c>
      <c r="C1612" s="424" t="s">
        <v>302</v>
      </c>
      <c r="D1612" s="424" t="s">
        <v>219</v>
      </c>
      <c r="E1612" s="424" t="s">
        <v>292</v>
      </c>
      <c r="F1612" s="425"/>
      <c r="G1612" s="205">
        <f>G1613+G1615+G1617+G1619+G1623+G1625</f>
        <v>0</v>
      </c>
      <c r="H1612" s="205">
        <f>H1613+H1615+H1617+H1619+H1623+H1625</f>
        <v>0</v>
      </c>
      <c r="I1612" s="205">
        <f>I1613+I1615+I1617+I1619+I1623+I1625</f>
        <v>0</v>
      </c>
      <c r="J1612" s="257">
        <f>J1613+J1615+J1617+J1619+J1623+J1625</f>
        <v>5926.407</v>
      </c>
      <c r="K1612" s="281">
        <f aca="true" t="shared" si="305" ref="K1612:P1612">K1613+K1615+K1617+K1619+K1623+K1625+K1627</f>
        <v>5926.407</v>
      </c>
      <c r="L1612" s="281">
        <f t="shared" si="305"/>
        <v>2868.0029999999997</v>
      </c>
      <c r="M1612" s="281">
        <f t="shared" si="305"/>
        <v>0</v>
      </c>
      <c r="N1612" s="281">
        <f t="shared" si="305"/>
        <v>8794.41</v>
      </c>
      <c r="O1612" s="281">
        <f t="shared" si="305"/>
        <v>5957.584</v>
      </c>
      <c r="P1612" s="281">
        <f t="shared" si="305"/>
        <v>0</v>
      </c>
      <c r="Q1612" s="480">
        <f>Q1613+Q1615+Q1617+Q1619+Q1623+Q1625+Q1627+Q1621</f>
        <v>14901.793999999998</v>
      </c>
      <c r="R1612" s="480">
        <f>R1613+R1615+R1617+R1619+R1623+R1625+R1627+R1621</f>
        <v>13761.512999999999</v>
      </c>
      <c r="S1612" s="481">
        <f t="shared" si="290"/>
        <v>92.34802870043701</v>
      </c>
    </row>
    <row r="1613" spans="1:19" ht="29.25" customHeight="1">
      <c r="A1613" s="244" t="s">
        <v>158</v>
      </c>
      <c r="B1613" s="241" t="s">
        <v>254</v>
      </c>
      <c r="C1613" s="242" t="s">
        <v>302</v>
      </c>
      <c r="D1613" s="242" t="s">
        <v>219</v>
      </c>
      <c r="E1613" s="242" t="s">
        <v>488</v>
      </c>
      <c r="F1613" s="243"/>
      <c r="G1613" s="89">
        <f aca="true" t="shared" si="306" ref="G1613:R1613">G1614</f>
        <v>0</v>
      </c>
      <c r="H1613" s="89">
        <f t="shared" si="306"/>
        <v>0</v>
      </c>
      <c r="I1613" s="89">
        <f t="shared" si="306"/>
        <v>0</v>
      </c>
      <c r="J1613" s="89">
        <f t="shared" si="306"/>
        <v>1000</v>
      </c>
      <c r="K1613" s="275">
        <f t="shared" si="306"/>
        <v>1000</v>
      </c>
      <c r="L1613" s="275">
        <f t="shared" si="306"/>
        <v>0</v>
      </c>
      <c r="M1613" s="275">
        <f t="shared" si="306"/>
        <v>0</v>
      </c>
      <c r="N1613" s="275">
        <f t="shared" si="306"/>
        <v>1000</v>
      </c>
      <c r="O1613" s="275"/>
      <c r="P1613" s="275"/>
      <c r="Q1613" s="449">
        <f t="shared" si="306"/>
        <v>1000</v>
      </c>
      <c r="R1613" s="449">
        <f t="shared" si="306"/>
        <v>995</v>
      </c>
      <c r="S1613" s="465">
        <f t="shared" si="290"/>
        <v>99.5</v>
      </c>
    </row>
    <row r="1614" spans="1:19" ht="15.75" customHeight="1" thickBot="1">
      <c r="A1614" s="193" t="s">
        <v>482</v>
      </c>
      <c r="B1614" s="427" t="s">
        <v>254</v>
      </c>
      <c r="C1614" s="431" t="s">
        <v>302</v>
      </c>
      <c r="D1614" s="431" t="s">
        <v>219</v>
      </c>
      <c r="E1614" s="431" t="s">
        <v>488</v>
      </c>
      <c r="F1614" s="432" t="s">
        <v>121</v>
      </c>
      <c r="G1614" s="206"/>
      <c r="H1614" s="143"/>
      <c r="I1614" s="143"/>
      <c r="J1614" s="206">
        <v>1000</v>
      </c>
      <c r="K1614" s="273">
        <f>G1614+J1614</f>
        <v>1000</v>
      </c>
      <c r="L1614" s="331"/>
      <c r="M1614" s="137"/>
      <c r="N1614" s="102">
        <f>K1614+L1614+M1614</f>
        <v>1000</v>
      </c>
      <c r="O1614" s="102"/>
      <c r="P1614" s="280"/>
      <c r="Q1614" s="448">
        <f>N1614+O1614+P1614</f>
        <v>1000</v>
      </c>
      <c r="R1614" s="448">
        <v>995</v>
      </c>
      <c r="S1614" s="444">
        <f aca="true" t="shared" si="307" ref="S1614:S1629">R1614/Q1614*100</f>
        <v>99.5</v>
      </c>
    </row>
    <row r="1615" spans="1:19" ht="27.75" customHeight="1">
      <c r="A1615" s="153" t="s">
        <v>159</v>
      </c>
      <c r="B1615" s="245" t="s">
        <v>254</v>
      </c>
      <c r="C1615" s="246" t="s">
        <v>302</v>
      </c>
      <c r="D1615" s="246" t="s">
        <v>219</v>
      </c>
      <c r="E1615" s="246" t="s">
        <v>489</v>
      </c>
      <c r="F1615" s="247"/>
      <c r="G1615" s="205">
        <f aca="true" t="shared" si="308" ref="G1615:M1615">G1616</f>
        <v>0</v>
      </c>
      <c r="H1615" s="205">
        <f t="shared" si="308"/>
        <v>0</v>
      </c>
      <c r="I1615" s="205">
        <f t="shared" si="308"/>
        <v>0</v>
      </c>
      <c r="J1615" s="205">
        <f t="shared" si="308"/>
        <v>316.907</v>
      </c>
      <c r="K1615" s="174">
        <f t="shared" si="308"/>
        <v>316.907</v>
      </c>
      <c r="L1615" s="174">
        <f t="shared" si="308"/>
        <v>0.003</v>
      </c>
      <c r="M1615" s="174">
        <f t="shared" si="308"/>
        <v>0</v>
      </c>
      <c r="N1615" s="174">
        <f>N1616</f>
        <v>316.90999999999997</v>
      </c>
      <c r="O1615" s="174">
        <f>O1616</f>
        <v>70</v>
      </c>
      <c r="P1615" s="174">
        <f>P1616</f>
        <v>0</v>
      </c>
      <c r="Q1615" s="449">
        <f>Q1616</f>
        <v>386.90999999999997</v>
      </c>
      <c r="R1615" s="449">
        <f>R1616</f>
        <v>386.65648</v>
      </c>
      <c r="S1615" s="465">
        <f t="shared" si="307"/>
        <v>99.93447571786722</v>
      </c>
    </row>
    <row r="1616" spans="1:19" ht="15.75" customHeight="1">
      <c r="A1616" s="181" t="s">
        <v>482</v>
      </c>
      <c r="B1616" s="428" t="s">
        <v>254</v>
      </c>
      <c r="C1616" s="429" t="s">
        <v>302</v>
      </c>
      <c r="D1616" s="429" t="s">
        <v>219</v>
      </c>
      <c r="E1616" s="429" t="s">
        <v>489</v>
      </c>
      <c r="F1616" s="430" t="s">
        <v>121</v>
      </c>
      <c r="G1616" s="89"/>
      <c r="H1616" s="82"/>
      <c r="I1616" s="82"/>
      <c r="J1616" s="89">
        <v>316.907</v>
      </c>
      <c r="K1616" s="275">
        <v>316.907</v>
      </c>
      <c r="L1616" s="315">
        <v>0.003</v>
      </c>
      <c r="M1616" s="82"/>
      <c r="N1616" s="89">
        <f>K1616+L1616+M1616</f>
        <v>316.90999999999997</v>
      </c>
      <c r="O1616" s="89">
        <v>70</v>
      </c>
      <c r="P1616" s="275"/>
      <c r="Q1616" s="448">
        <f>N1616+O1616+P1616</f>
        <v>386.90999999999997</v>
      </c>
      <c r="R1616" s="448">
        <v>386.65648</v>
      </c>
      <c r="S1616" s="444">
        <f t="shared" si="307"/>
        <v>99.93447571786722</v>
      </c>
    </row>
    <row r="1617" spans="1:19" ht="30" customHeight="1">
      <c r="A1617" s="426" t="s">
        <v>487</v>
      </c>
      <c r="B1617" s="248" t="s">
        <v>254</v>
      </c>
      <c r="C1617" s="424" t="s">
        <v>302</v>
      </c>
      <c r="D1617" s="424" t="s">
        <v>219</v>
      </c>
      <c r="E1617" s="424" t="s">
        <v>391</v>
      </c>
      <c r="F1617" s="425"/>
      <c r="G1617" s="205">
        <f aca="true" t="shared" si="309" ref="G1617:R1617">G1618</f>
        <v>0</v>
      </c>
      <c r="H1617" s="205">
        <f t="shared" si="309"/>
        <v>0</v>
      </c>
      <c r="I1617" s="205">
        <f t="shared" si="309"/>
        <v>0</v>
      </c>
      <c r="J1617" s="205">
        <f t="shared" si="309"/>
        <v>1500</v>
      </c>
      <c r="K1617" s="281">
        <f t="shared" si="309"/>
        <v>1500</v>
      </c>
      <c r="L1617" s="281">
        <f t="shared" si="309"/>
        <v>1076</v>
      </c>
      <c r="M1617" s="281">
        <f t="shared" si="309"/>
        <v>0</v>
      </c>
      <c r="N1617" s="281">
        <f t="shared" si="309"/>
        <v>2576</v>
      </c>
      <c r="O1617" s="281">
        <f t="shared" si="309"/>
        <v>2246</v>
      </c>
      <c r="P1617" s="281">
        <f t="shared" si="309"/>
        <v>0</v>
      </c>
      <c r="Q1617" s="449">
        <f t="shared" si="309"/>
        <v>4822</v>
      </c>
      <c r="R1617" s="449">
        <f t="shared" si="309"/>
        <v>4819.94839</v>
      </c>
      <c r="S1617" s="465">
        <f t="shared" si="307"/>
        <v>99.9574531314807</v>
      </c>
    </row>
    <row r="1618" spans="1:19" ht="15.75" customHeight="1">
      <c r="A1618" s="181" t="s">
        <v>482</v>
      </c>
      <c r="B1618" s="428" t="s">
        <v>254</v>
      </c>
      <c r="C1618" s="429" t="s">
        <v>302</v>
      </c>
      <c r="D1618" s="429" t="s">
        <v>219</v>
      </c>
      <c r="E1618" s="429" t="s">
        <v>391</v>
      </c>
      <c r="F1618" s="430" t="s">
        <v>121</v>
      </c>
      <c r="G1618" s="89"/>
      <c r="H1618" s="82"/>
      <c r="I1618" s="82"/>
      <c r="J1618" s="89">
        <v>1500</v>
      </c>
      <c r="K1618" s="275">
        <v>1500</v>
      </c>
      <c r="L1618" s="315">
        <v>1076</v>
      </c>
      <c r="M1618" s="82"/>
      <c r="N1618" s="89">
        <f>K1618+L1618+M1618</f>
        <v>2576</v>
      </c>
      <c r="O1618" s="89">
        <f>125+99.993+415.823+1605.184</f>
        <v>2246</v>
      </c>
      <c r="P1618" s="275"/>
      <c r="Q1618" s="448">
        <f>N1618+O1618+P1618</f>
        <v>4822</v>
      </c>
      <c r="R1618" s="448">
        <v>4819.94839</v>
      </c>
      <c r="S1618" s="444">
        <f t="shared" si="307"/>
        <v>99.9574531314807</v>
      </c>
    </row>
    <row r="1619" spans="1:19" ht="28.5" customHeight="1">
      <c r="A1619" s="426" t="s">
        <v>360</v>
      </c>
      <c r="B1619" s="248" t="s">
        <v>254</v>
      </c>
      <c r="C1619" s="424" t="s">
        <v>302</v>
      </c>
      <c r="D1619" s="424" t="s">
        <v>219</v>
      </c>
      <c r="E1619" s="424" t="s">
        <v>99</v>
      </c>
      <c r="F1619" s="425"/>
      <c r="G1619" s="205">
        <f aca="true" t="shared" si="310" ref="G1619:R1619">G1620</f>
        <v>0</v>
      </c>
      <c r="H1619" s="205">
        <f t="shared" si="310"/>
        <v>0</v>
      </c>
      <c r="I1619" s="205">
        <f t="shared" si="310"/>
        <v>0</v>
      </c>
      <c r="J1619" s="205">
        <f t="shared" si="310"/>
        <v>900</v>
      </c>
      <c r="K1619" s="174">
        <f t="shared" si="310"/>
        <v>900</v>
      </c>
      <c r="L1619" s="174">
        <f t="shared" si="310"/>
        <v>1167</v>
      </c>
      <c r="M1619" s="174">
        <f t="shared" si="310"/>
        <v>0</v>
      </c>
      <c r="N1619" s="174">
        <f t="shared" si="310"/>
        <v>2067</v>
      </c>
      <c r="O1619" s="174">
        <f t="shared" si="310"/>
        <v>1069.5839999999998</v>
      </c>
      <c r="P1619" s="174">
        <f t="shared" si="310"/>
        <v>0</v>
      </c>
      <c r="Q1619" s="449">
        <f t="shared" si="310"/>
        <v>3136.584</v>
      </c>
      <c r="R1619" s="449">
        <f t="shared" si="310"/>
        <v>3132.00088</v>
      </c>
      <c r="S1619" s="465">
        <f t="shared" si="307"/>
        <v>99.8538818026235</v>
      </c>
    </row>
    <row r="1620" spans="1:19" ht="19.5" customHeight="1">
      <c r="A1620" s="181" t="s">
        <v>482</v>
      </c>
      <c r="B1620" s="428" t="s">
        <v>254</v>
      </c>
      <c r="C1620" s="429" t="s">
        <v>302</v>
      </c>
      <c r="D1620" s="429" t="s">
        <v>219</v>
      </c>
      <c r="E1620" s="429" t="s">
        <v>99</v>
      </c>
      <c r="F1620" s="430" t="s">
        <v>121</v>
      </c>
      <c r="G1620" s="89"/>
      <c r="H1620" s="82"/>
      <c r="I1620" s="82"/>
      <c r="J1620" s="89">
        <v>900</v>
      </c>
      <c r="K1620" s="275">
        <v>900</v>
      </c>
      <c r="L1620" s="315">
        <v>1167</v>
      </c>
      <c r="M1620" s="82"/>
      <c r="N1620" s="89">
        <f>K1620+L1620+M1620</f>
        <v>2067</v>
      </c>
      <c r="O1620" s="89">
        <f>200+869.584</f>
        <v>1069.5839999999998</v>
      </c>
      <c r="P1620" s="275"/>
      <c r="Q1620" s="448">
        <f>N1620+O1620+P1620</f>
        <v>3136.584</v>
      </c>
      <c r="R1620" s="448">
        <v>3132.00088</v>
      </c>
      <c r="S1620" s="444">
        <f t="shared" si="307"/>
        <v>99.8538818026235</v>
      </c>
    </row>
    <row r="1621" spans="1:19" ht="32.25" customHeight="1">
      <c r="A1621" s="103" t="s">
        <v>556</v>
      </c>
      <c r="B1621" s="248" t="s">
        <v>254</v>
      </c>
      <c r="C1621" s="424" t="s">
        <v>302</v>
      </c>
      <c r="D1621" s="424" t="s">
        <v>219</v>
      </c>
      <c r="E1621" s="424" t="s">
        <v>294</v>
      </c>
      <c r="F1621" s="425"/>
      <c r="G1621" s="257"/>
      <c r="H1621" s="257"/>
      <c r="I1621" s="257"/>
      <c r="J1621" s="257"/>
      <c r="K1621" s="281"/>
      <c r="L1621" s="281"/>
      <c r="M1621" s="281"/>
      <c r="N1621" s="281"/>
      <c r="O1621" s="281"/>
      <c r="P1621" s="281"/>
      <c r="Q1621" s="449">
        <f>Q1622</f>
        <v>149.8</v>
      </c>
      <c r="R1621" s="449">
        <f>R1622</f>
        <v>149.8</v>
      </c>
      <c r="S1621" s="465">
        <f t="shared" si="307"/>
        <v>100</v>
      </c>
    </row>
    <row r="1622" spans="1:19" ht="15.75" customHeight="1">
      <c r="A1622" s="181" t="s">
        <v>482</v>
      </c>
      <c r="B1622" s="427" t="s">
        <v>254</v>
      </c>
      <c r="C1622" s="431" t="s">
        <v>302</v>
      </c>
      <c r="D1622" s="431" t="s">
        <v>219</v>
      </c>
      <c r="E1622" s="431" t="s">
        <v>294</v>
      </c>
      <c r="F1622" s="432" t="s">
        <v>121</v>
      </c>
      <c r="G1622" s="205"/>
      <c r="H1622" s="205"/>
      <c r="I1622" s="205"/>
      <c r="J1622" s="205"/>
      <c r="K1622" s="174"/>
      <c r="L1622" s="174"/>
      <c r="M1622" s="174"/>
      <c r="N1622" s="174"/>
      <c r="O1622" s="174"/>
      <c r="P1622" s="174"/>
      <c r="Q1622" s="448">
        <v>149.8</v>
      </c>
      <c r="R1622" s="448">
        <v>149.8</v>
      </c>
      <c r="S1622" s="444">
        <f t="shared" si="307"/>
        <v>100</v>
      </c>
    </row>
    <row r="1623" spans="1:19" ht="27.75" customHeight="1">
      <c r="A1623" s="29" t="s">
        <v>181</v>
      </c>
      <c r="B1623" s="248" t="s">
        <v>254</v>
      </c>
      <c r="C1623" s="424" t="s">
        <v>302</v>
      </c>
      <c r="D1623" s="424" t="s">
        <v>219</v>
      </c>
      <c r="E1623" s="424" t="s">
        <v>490</v>
      </c>
      <c r="F1623" s="425"/>
      <c r="G1623" s="257">
        <f aca="true" t="shared" si="311" ref="G1623:R1623">G1624</f>
        <v>0</v>
      </c>
      <c r="H1623" s="257">
        <f t="shared" si="311"/>
        <v>0</v>
      </c>
      <c r="I1623" s="257">
        <f t="shared" si="311"/>
        <v>0</v>
      </c>
      <c r="J1623" s="257">
        <f t="shared" si="311"/>
        <v>9.5</v>
      </c>
      <c r="K1623" s="281">
        <f t="shared" si="311"/>
        <v>9.5</v>
      </c>
      <c r="L1623" s="281">
        <f t="shared" si="311"/>
        <v>15</v>
      </c>
      <c r="M1623" s="281">
        <f t="shared" si="311"/>
        <v>0</v>
      </c>
      <c r="N1623" s="281">
        <f t="shared" si="311"/>
        <v>24.5</v>
      </c>
      <c r="O1623" s="281">
        <f t="shared" si="311"/>
        <v>0</v>
      </c>
      <c r="P1623" s="281">
        <f t="shared" si="311"/>
        <v>0</v>
      </c>
      <c r="Q1623" s="449">
        <f t="shared" si="311"/>
        <v>24.5</v>
      </c>
      <c r="R1623" s="449">
        <f t="shared" si="311"/>
        <v>24.494</v>
      </c>
      <c r="S1623" s="465">
        <f t="shared" si="307"/>
        <v>99.97551020408163</v>
      </c>
    </row>
    <row r="1624" spans="1:19" ht="15.75" customHeight="1">
      <c r="A1624" s="181" t="s">
        <v>482</v>
      </c>
      <c r="B1624" s="428" t="s">
        <v>254</v>
      </c>
      <c r="C1624" s="429" t="s">
        <v>302</v>
      </c>
      <c r="D1624" s="429" t="s">
        <v>219</v>
      </c>
      <c r="E1624" s="429" t="s">
        <v>490</v>
      </c>
      <c r="F1624" s="430" t="s">
        <v>121</v>
      </c>
      <c r="G1624" s="89"/>
      <c r="H1624" s="82"/>
      <c r="I1624" s="82"/>
      <c r="J1624" s="89">
        <v>9.5</v>
      </c>
      <c r="K1624" s="275">
        <v>9.5</v>
      </c>
      <c r="L1624" s="315">
        <v>15</v>
      </c>
      <c r="M1624" s="82"/>
      <c r="N1624" s="89">
        <f>K1624+L1624+M1624</f>
        <v>24.5</v>
      </c>
      <c r="O1624" s="89"/>
      <c r="P1624" s="275"/>
      <c r="Q1624" s="448">
        <f>N1624+O1624+P1624</f>
        <v>24.5</v>
      </c>
      <c r="R1624" s="448">
        <v>24.494</v>
      </c>
      <c r="S1624" s="444">
        <f t="shared" si="307"/>
        <v>99.97551020408163</v>
      </c>
    </row>
    <row r="1625" spans="1:19" ht="29.25" customHeight="1">
      <c r="A1625" s="29" t="s">
        <v>176</v>
      </c>
      <c r="B1625" s="30" t="s">
        <v>254</v>
      </c>
      <c r="C1625" s="31" t="s">
        <v>302</v>
      </c>
      <c r="D1625" s="31" t="s">
        <v>219</v>
      </c>
      <c r="E1625" s="31" t="s">
        <v>13</v>
      </c>
      <c r="F1625" s="32"/>
      <c r="G1625" s="205">
        <f aca="true" t="shared" si="312" ref="G1625:R1625">G1626</f>
        <v>0</v>
      </c>
      <c r="H1625" s="205">
        <f t="shared" si="312"/>
        <v>0</v>
      </c>
      <c r="I1625" s="205">
        <f t="shared" si="312"/>
        <v>0</v>
      </c>
      <c r="J1625" s="205">
        <f t="shared" si="312"/>
        <v>2200</v>
      </c>
      <c r="K1625" s="174">
        <f t="shared" si="312"/>
        <v>2200</v>
      </c>
      <c r="L1625" s="174">
        <f t="shared" si="312"/>
        <v>400</v>
      </c>
      <c r="M1625" s="174">
        <f t="shared" si="312"/>
        <v>0</v>
      </c>
      <c r="N1625" s="174">
        <f t="shared" si="312"/>
        <v>2600</v>
      </c>
      <c r="O1625" s="174">
        <f t="shared" si="312"/>
        <v>2572</v>
      </c>
      <c r="P1625" s="174">
        <f t="shared" si="312"/>
        <v>0</v>
      </c>
      <c r="Q1625" s="449">
        <f t="shared" si="312"/>
        <v>5172</v>
      </c>
      <c r="R1625" s="449">
        <f t="shared" si="312"/>
        <v>4043.61325</v>
      </c>
      <c r="S1625" s="465">
        <f t="shared" si="307"/>
        <v>78.18277745552977</v>
      </c>
    </row>
    <row r="1626" spans="1:19" ht="15.75" customHeight="1">
      <c r="A1626" s="181" t="s">
        <v>482</v>
      </c>
      <c r="B1626" s="141" t="s">
        <v>254</v>
      </c>
      <c r="C1626" s="76" t="s">
        <v>302</v>
      </c>
      <c r="D1626" s="76" t="s">
        <v>219</v>
      </c>
      <c r="E1626" s="76" t="s">
        <v>13</v>
      </c>
      <c r="F1626" s="78" t="s">
        <v>121</v>
      </c>
      <c r="G1626" s="89"/>
      <c r="H1626" s="89"/>
      <c r="I1626" s="89"/>
      <c r="J1626" s="89">
        <v>2200</v>
      </c>
      <c r="K1626" s="275">
        <v>2200</v>
      </c>
      <c r="L1626" s="315">
        <v>400</v>
      </c>
      <c r="M1626" s="82"/>
      <c r="N1626" s="89">
        <f>K1626+L1626+M1626</f>
        <v>2600</v>
      </c>
      <c r="O1626" s="89">
        <v>2572</v>
      </c>
      <c r="P1626" s="275"/>
      <c r="Q1626" s="448">
        <f>N1626+O1626+P1626</f>
        <v>5172</v>
      </c>
      <c r="R1626" s="448">
        <v>4043.61325</v>
      </c>
      <c r="S1626" s="444">
        <f t="shared" si="307"/>
        <v>78.18277745552977</v>
      </c>
    </row>
    <row r="1627" spans="1:19" ht="31.5" customHeight="1">
      <c r="A1627" s="46" t="s">
        <v>161</v>
      </c>
      <c r="B1627" s="71" t="s">
        <v>254</v>
      </c>
      <c r="C1627" s="72" t="s">
        <v>302</v>
      </c>
      <c r="D1627" s="72" t="s">
        <v>219</v>
      </c>
      <c r="E1627" s="72" t="s">
        <v>392</v>
      </c>
      <c r="F1627" s="74"/>
      <c r="G1627" s="89"/>
      <c r="H1627" s="89"/>
      <c r="I1627" s="89"/>
      <c r="J1627" s="89"/>
      <c r="K1627" s="275">
        <f aca="true" t="shared" si="313" ref="K1627:R1627">K1628</f>
        <v>0</v>
      </c>
      <c r="L1627" s="275">
        <f t="shared" si="313"/>
        <v>210</v>
      </c>
      <c r="M1627" s="275">
        <f t="shared" si="313"/>
        <v>0</v>
      </c>
      <c r="N1627" s="275">
        <f t="shared" si="313"/>
        <v>210</v>
      </c>
      <c r="O1627" s="275">
        <f t="shared" si="313"/>
        <v>0</v>
      </c>
      <c r="P1627" s="275">
        <f t="shared" si="313"/>
        <v>0</v>
      </c>
      <c r="Q1627" s="449">
        <f t="shared" si="313"/>
        <v>210</v>
      </c>
      <c r="R1627" s="449">
        <f t="shared" si="313"/>
        <v>210</v>
      </c>
      <c r="S1627" s="465">
        <f t="shared" si="307"/>
        <v>100</v>
      </c>
    </row>
    <row r="1628" spans="1:19" ht="16.5" customHeight="1" thickBot="1">
      <c r="A1628" s="193" t="s">
        <v>482</v>
      </c>
      <c r="B1628" s="161" t="s">
        <v>254</v>
      </c>
      <c r="C1628" s="100" t="s">
        <v>302</v>
      </c>
      <c r="D1628" s="100" t="s">
        <v>219</v>
      </c>
      <c r="E1628" s="100" t="s">
        <v>392</v>
      </c>
      <c r="F1628" s="101" t="s">
        <v>121</v>
      </c>
      <c r="G1628" s="206"/>
      <c r="H1628" s="206"/>
      <c r="I1628" s="206"/>
      <c r="J1628" s="206"/>
      <c r="K1628" s="273"/>
      <c r="L1628" s="174">
        <v>210</v>
      </c>
      <c r="M1628" s="174"/>
      <c r="N1628" s="174">
        <f>K1628+L1628+M1628</f>
        <v>210</v>
      </c>
      <c r="O1628" s="174"/>
      <c r="P1628" s="174"/>
      <c r="Q1628" s="460">
        <f>N1628+O1628+P1628</f>
        <v>210</v>
      </c>
      <c r="R1628" s="460">
        <v>210</v>
      </c>
      <c r="S1628" s="491">
        <f t="shared" si="307"/>
        <v>100</v>
      </c>
    </row>
    <row r="1629" spans="1:19" ht="16.5" customHeight="1" thickBot="1">
      <c r="A1629" s="182" t="s">
        <v>101</v>
      </c>
      <c r="B1629" s="183"/>
      <c r="C1629" s="184"/>
      <c r="D1629" s="184"/>
      <c r="E1629" s="184"/>
      <c r="F1629" s="186"/>
      <c r="G1629" s="198" t="e">
        <f aca="true" t="shared" si="314" ref="G1629:R1629">G14+G332+G390+G538+G668+G1024+G1246+G1554+G662+G1479</f>
        <v>#REF!</v>
      </c>
      <c r="H1629" s="198" t="e">
        <f t="shared" si="314"/>
        <v>#REF!</v>
      </c>
      <c r="I1629" s="198" t="e">
        <f t="shared" si="314"/>
        <v>#REF!</v>
      </c>
      <c r="J1629" s="198" t="e">
        <f t="shared" si="314"/>
        <v>#REF!</v>
      </c>
      <c r="K1629" s="284" t="e">
        <f t="shared" si="314"/>
        <v>#REF!</v>
      </c>
      <c r="L1629" s="284" t="e">
        <f t="shared" si="314"/>
        <v>#REF!</v>
      </c>
      <c r="M1629" s="284" t="e">
        <f t="shared" si="314"/>
        <v>#REF!</v>
      </c>
      <c r="N1629" s="284" t="e">
        <f t="shared" si="314"/>
        <v>#REF!</v>
      </c>
      <c r="O1629" s="284" t="e">
        <f t="shared" si="314"/>
        <v>#REF!</v>
      </c>
      <c r="P1629" s="284" t="e">
        <f t="shared" si="314"/>
        <v>#REF!</v>
      </c>
      <c r="Q1629" s="462">
        <f t="shared" si="314"/>
        <v>831398.8</v>
      </c>
      <c r="R1629" s="463">
        <f t="shared" si="314"/>
        <v>814411.64969</v>
      </c>
      <c r="S1629" s="494">
        <f t="shared" si="307"/>
        <v>97.95679879379186</v>
      </c>
    </row>
    <row r="1630" spans="1:19" ht="12.75">
      <c r="A1630" s="172"/>
      <c r="B1630" s="173"/>
      <c r="C1630" s="173"/>
      <c r="D1630" s="173"/>
      <c r="E1630" s="173"/>
      <c r="F1630" s="173"/>
      <c r="G1630" s="174">
        <v>646372.5953</v>
      </c>
      <c r="H1630" s="174"/>
      <c r="I1630" s="174"/>
      <c r="J1630" s="174">
        <f>125125.7+500+7620.7</f>
        <v>133246.4</v>
      </c>
      <c r="K1630" s="174"/>
      <c r="L1630" s="174"/>
      <c r="M1630" s="174"/>
      <c r="N1630" s="281"/>
      <c r="O1630" s="281"/>
      <c r="P1630" s="281"/>
      <c r="Q1630" s="281"/>
      <c r="R1630" s="281"/>
      <c r="S1630" s="281"/>
    </row>
    <row r="1631" spans="1:19" ht="12.75">
      <c r="A1631" s="172"/>
      <c r="B1631" s="173"/>
      <c r="C1631" s="173"/>
      <c r="D1631" s="173"/>
      <c r="E1631" s="173"/>
      <c r="F1631" s="173"/>
      <c r="G1631" s="174"/>
      <c r="H1631" s="174"/>
      <c r="I1631" s="174"/>
      <c r="J1631" s="174"/>
      <c r="K1631" s="174"/>
      <c r="L1631" s="174"/>
      <c r="M1631" s="174"/>
      <c r="N1631" s="281"/>
      <c r="O1631" s="281"/>
      <c r="P1631" s="281"/>
      <c r="Q1631" s="281"/>
      <c r="R1631" s="281"/>
      <c r="S1631" s="281"/>
    </row>
    <row r="1632" spans="1:19" ht="15.75">
      <c r="A1632" s="221" t="s">
        <v>102</v>
      </c>
      <c r="B1632" s="222"/>
      <c r="C1632" s="222"/>
      <c r="D1632" s="222"/>
      <c r="E1632" s="222"/>
      <c r="F1632" s="222"/>
      <c r="G1632" s="223"/>
      <c r="H1632" s="215">
        <v>843</v>
      </c>
      <c r="I1632" s="215">
        <v>843</v>
      </c>
      <c r="J1632" s="223" t="e">
        <f>J1630-J1629</f>
        <v>#REF!</v>
      </c>
      <c r="K1632" s="369">
        <v>774133.28468</v>
      </c>
      <c r="L1632" s="223"/>
      <c r="M1632" s="223"/>
      <c r="N1632" s="369">
        <v>807906.75013</v>
      </c>
      <c r="O1632" s="369"/>
      <c r="P1632" s="369"/>
      <c r="Q1632" s="369"/>
      <c r="R1632" s="369"/>
      <c r="S1632" s="369"/>
    </row>
    <row r="1633" spans="1:19" ht="15.75">
      <c r="A1633" s="221" t="s">
        <v>103</v>
      </c>
      <c r="B1633" s="224"/>
      <c r="C1633" s="227"/>
      <c r="D1633" s="227"/>
      <c r="E1633" s="227"/>
      <c r="F1633" s="226" t="s">
        <v>139</v>
      </c>
      <c r="G1633" s="225"/>
      <c r="H1633" s="175" t="s">
        <v>104</v>
      </c>
      <c r="I1633" s="175"/>
      <c r="J1633" s="225"/>
      <c r="K1633" s="261"/>
      <c r="L1633" s="261"/>
      <c r="M1633" s="261"/>
      <c r="N1633" s="261"/>
      <c r="O1633" s="261"/>
      <c r="P1633" s="261"/>
      <c r="Q1633" s="261"/>
      <c r="R1633" s="261"/>
      <c r="S1633" s="261"/>
    </row>
    <row r="1635" spans="8:9" ht="12.75">
      <c r="H1635" s="6">
        <v>623056.1</v>
      </c>
      <c r="I1635" s="6">
        <v>634583.8</v>
      </c>
    </row>
    <row r="1636" ht="12.75">
      <c r="A1636" s="60"/>
    </row>
    <row r="1637" spans="6:19" ht="12.75">
      <c r="F1637" s="3" t="s">
        <v>515</v>
      </c>
      <c r="K1637" s="6">
        <f aca="true" t="shared" si="315" ref="K1637:P1637">K325+K334+K492+K539+K614+K664+K796+K861+K974+K1151+K1173+K1177+K1417+K1484+K1612</f>
        <v>27672.07437</v>
      </c>
      <c r="L1637" s="6">
        <f t="shared" si="315"/>
        <v>-209.39503000000013</v>
      </c>
      <c r="M1637" s="6">
        <f t="shared" si="315"/>
        <v>2851</v>
      </c>
      <c r="N1637" s="371">
        <f t="shared" si="315"/>
        <v>30313.67934</v>
      </c>
      <c r="O1637" s="371">
        <f t="shared" si="315"/>
        <v>309.90999999999985</v>
      </c>
      <c r="P1637" s="371">
        <f t="shared" si="315"/>
        <v>2407.834</v>
      </c>
      <c r="Q1637" s="371">
        <f>Q325+Q334+Q492+Q539+Q614+Q664+Q796+Q861+Q974+Q1151+Q1173+Q1177+Q1417+Q1484+Q1612+Q690+Q742</f>
        <v>33185.694639999994</v>
      </c>
      <c r="R1637" s="371">
        <f>R325+R334+R492+R539+R614+R664+R796+R861+R974+R1151+R1173+R1177+R1417+R1484+R1612+R690+R742</f>
        <v>30575.127989999997</v>
      </c>
      <c r="S1637" s="371"/>
    </row>
  </sheetData>
  <sheetProtection/>
  <mergeCells count="3">
    <mergeCell ref="A7:Q7"/>
    <mergeCell ref="A8:Q8"/>
    <mergeCell ref="A9:Q9"/>
  </mergeCells>
  <printOptions/>
  <pageMargins left="0.5905511811023623" right="0.1968503937007874" top="0.1968503937007874" bottom="0.2362204724409449" header="0.5118110236220472" footer="0.5118110236220472"/>
  <pageSetup horizontalDpi="600" verticalDpi="600" orientation="portrait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ShargorodskayaVA</cp:lastModifiedBy>
  <cp:lastPrinted>2014-03-05T01:15:51Z</cp:lastPrinted>
  <dcterms:created xsi:type="dcterms:W3CDTF">1996-10-08T23:32:33Z</dcterms:created>
  <dcterms:modified xsi:type="dcterms:W3CDTF">2014-04-30T00:28:28Z</dcterms:modified>
  <cp:category/>
  <cp:version/>
  <cp:contentType/>
  <cp:contentStatus/>
</cp:coreProperties>
</file>